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0" yWindow="0" windowWidth="25600" windowHeight="16060" activeTab="1"/>
  </bookViews>
  <sheets>
    <sheet name="1,000 patients" sheetId="1" r:id="rId1"/>
    <sheet name="Trust savings calculator" sheetId="2" r:id="rId2"/>
    <sheet name="Peezy cost savings timeline" sheetId="3" r:id="rId3"/>
    <sheet name="Breakeven contamination rate" sheetId="4" r:id="rId4"/>
    <sheet name="Administration" sheetId="5" r:id="rId5"/>
    <sheet name="Patients costs" sheetId="6" r:id="rId6"/>
    <sheet name="Clinical factors" sheetId="7" r:id="rId7"/>
    <sheet name="Antibiotic Stewardship" sheetId="8" r:id="rId8"/>
    <sheet name="References" sheetId="9" r:id="rId9"/>
  </sheets>
  <definedNames/>
  <calcPr fullCalcOnLoad="1"/>
</workbook>
</file>

<file path=xl/comments2.xml><?xml version="1.0" encoding="utf-8"?>
<comments xmlns="http://schemas.openxmlformats.org/spreadsheetml/2006/main">
  <authors>
    <author>David</author>
  </authors>
  <commentList>
    <comment ref="A1" authorId="0">
      <text>
        <r>
          <rPr>
            <sz val="12"/>
            <rFont val="Arial"/>
            <family val="2"/>
          </rPr>
          <t>Enter annual no. of specimens in cell D3 (and your own Trust costs, if known, in cells with figures in blue)  to work out the savings for your Trust</t>
        </r>
      </text>
    </comment>
    <comment ref="A152" authorId="0">
      <text>
        <r>
          <rPr>
            <b/>
            <sz val="9"/>
            <rFont val="Tahoma"/>
            <family val="0"/>
          </rPr>
          <t>Blue cells are variables</t>
        </r>
      </text>
    </comment>
  </commentList>
</comments>
</file>

<file path=xl/sharedStrings.xml><?xml version="1.0" encoding="utf-8"?>
<sst xmlns="http://schemas.openxmlformats.org/spreadsheetml/2006/main" count="173" uniqueCount="150">
  <si>
    <t>MSU Financial Calculator</t>
  </si>
  <si>
    <t>Peezy Midstream</t>
  </si>
  <si>
    <t>Direct costs</t>
  </si>
  <si>
    <t>Total urine samples analysed per annum</t>
  </si>
  <si>
    <t>Cost of laboratory analysis, NHS laboratory</t>
  </si>
  <si>
    <t>Specimen collection</t>
  </si>
  <si>
    <t>Contamination rate of MSU collection (%)</t>
  </si>
  <si>
    <t>Re-test collection</t>
  </si>
  <si>
    <t>Cost of collection system</t>
  </si>
  <si>
    <t>Additional lab analysis</t>
  </si>
  <si>
    <t>Cost of additional collection product</t>
  </si>
  <si>
    <t>Total cost of specimen collection kit/containers</t>
  </si>
  <si>
    <t>Cost of laboratory analysis</t>
  </si>
  <si>
    <t>Number of resulting retests</t>
  </si>
  <si>
    <t>Cost of collection system / bottle for retests</t>
  </si>
  <si>
    <t>Cost of additional lab analysis</t>
  </si>
  <si>
    <t>Total direct specimen collection cost</t>
  </si>
  <si>
    <t>Total savings made using MSU system</t>
  </si>
  <si>
    <t>Percentage saving</t>
  </si>
  <si>
    <t>Indirect costs</t>
  </si>
  <si>
    <t>Administration</t>
  </si>
  <si>
    <t>Cost</t>
  </si>
  <si>
    <t>Retest appointment</t>
  </si>
  <si>
    <t>Patients' expenses</t>
  </si>
  <si>
    <t>Total savings for patients</t>
  </si>
  <si>
    <t>Saving per patient</t>
  </si>
  <si>
    <t>Patient anxiety</t>
  </si>
  <si>
    <t>Average lost pay for retest</t>
  </si>
  <si>
    <t>Total average costs to patients</t>
  </si>
  <si>
    <t>Total direct saving per patient</t>
  </si>
  <si>
    <t>Average travel costs for retest</t>
  </si>
  <si>
    <t>Chance of antibiotic resistance</t>
  </si>
  <si>
    <t>Receive contaminated sample notification from lab</t>
  </si>
  <si>
    <t>Inform clinicians</t>
  </si>
  <si>
    <t>Time [hh:mm]</t>
  </si>
  <si>
    <t>Staff hourly pay rate</t>
  </si>
  <si>
    <t>Staff hour fully absorbed cost (inc overheads)</t>
  </si>
  <si>
    <t>Staff cost (inc overheads)</t>
  </si>
  <si>
    <t>Elapsed time</t>
  </si>
  <si>
    <t>Wages wasted</t>
  </si>
  <si>
    <t>Administrative costs</t>
  </si>
  <si>
    <t>Receive contaminated sample notification from clinicians</t>
  </si>
  <si>
    <t>Create another sample</t>
  </si>
  <si>
    <t>Take sample to clinicians and return home</t>
  </si>
  <si>
    <t>Pack and despatch 2nd sample to laboratory</t>
  </si>
  <si>
    <t>Receive 2nd sample from laboratory</t>
  </si>
  <si>
    <t>Ring patient to ask for 2nd sample</t>
  </si>
  <si>
    <t>Receive and document 2nd sample from patient</t>
  </si>
  <si>
    <t>Staff time used</t>
  </si>
  <si>
    <t>Patient's time and costs</t>
  </si>
  <si>
    <t>days</t>
  </si>
  <si>
    <t>hours</t>
  </si>
  <si>
    <t>Time taken</t>
  </si>
  <si>
    <t>Travel costs</t>
  </si>
  <si>
    <t>Home</t>
  </si>
  <si>
    <t>Hourly wage</t>
  </si>
  <si>
    <t>Lost pay</t>
  </si>
  <si>
    <t>Total cost to patient</t>
  </si>
  <si>
    <t>Clinical factors</t>
  </si>
  <si>
    <t>Patient stress</t>
  </si>
  <si>
    <t>Antibiotic resistance</t>
  </si>
  <si>
    <t>NHS Patient Safety</t>
  </si>
  <si>
    <t>http://www.nrls.npsa.nhs.uk/</t>
  </si>
  <si>
    <t>The Revised Healthcare Cleaning Manual</t>
  </si>
  <si>
    <t>http://www.nrls.npsa.nhs.uk/EasySiteWeb/getresource.axd?AssetID=61814</t>
  </si>
  <si>
    <t>References</t>
  </si>
  <si>
    <t>Title</t>
  </si>
  <si>
    <t>Source</t>
  </si>
  <si>
    <t>http://www.nhsemployers.org/staffwelfareissues</t>
  </si>
  <si>
    <t>NHS Employers Health and Safety</t>
  </si>
  <si>
    <t>http://www.nhsemployers.org/~/media/Employers/Publications/workplace-health-safety-standards.pdf</t>
  </si>
  <si>
    <t>NHS Workplace Health and Safety Standards</t>
  </si>
  <si>
    <t>http://www.hscic.gov.uk/catalogue/PUB17274</t>
  </si>
  <si>
    <t>NHS Prescription Cost Analysis 2014</t>
  </si>
  <si>
    <t>National specifications for cleanliness in the NHS</t>
  </si>
  <si>
    <t>http://www.nrls.npsa.nhs.uk/resources/?EntryId45=59818</t>
  </si>
  <si>
    <t>https://www.gov.uk/government/publications/smi-b-41-investigation-of-urine</t>
  </si>
  <si>
    <t>UK Standards for Microbiology Investigations - Investigation of Urine</t>
  </si>
  <si>
    <t>https://www.gov.uk/government/collections/nhs-reference-costs</t>
  </si>
  <si>
    <t>NHS reference costs</t>
  </si>
  <si>
    <t>Standard Infection Control Precautions</t>
  </si>
  <si>
    <t>http://www.nhsprofessionals.nhs.uk/Download/comms/CG1_NHSP_Standard_Infection_Control_Precautions_v3.pdf</t>
  </si>
  <si>
    <t>https://www.gov.uk/government/uploads/system/uploads/attachment_data/file/434202/carter-interim-report.pdf</t>
  </si>
  <si>
    <t>NHS Carter Report</t>
  </si>
  <si>
    <t>http://www.hpft.nhs.uk/_uploads/documents/the-trust/freedom-of-info/disclosure/specimen-collection-for-microbiological-analysis.pdf</t>
  </si>
  <si>
    <t>Hertfordshire Specimen Collection For Microbiological Analysis Guidelines</t>
  </si>
  <si>
    <t>Rotavirus</t>
  </si>
  <si>
    <t>Opportunity cost of a Uro OP appointment</t>
  </si>
  <si>
    <t>Office administration cost</t>
  </si>
  <si>
    <t>https://en.wikipedia.org/wiki/Rotavirus</t>
  </si>
  <si>
    <t>https://en.wikipedia.org/wiki/Japanese_encephalitis</t>
  </si>
  <si>
    <t>Japanese Encephalitis</t>
  </si>
  <si>
    <t>Diseases contractable via urine</t>
  </si>
  <si>
    <t>Streptococcus</t>
  </si>
  <si>
    <t>https://en.wikipedia.org/wiki/Streptococcus</t>
  </si>
  <si>
    <t>Escherichia coli</t>
  </si>
  <si>
    <t>https://en.wikipedia.org/wiki/Escherichia_coli</t>
  </si>
  <si>
    <t>Chlamydia</t>
  </si>
  <si>
    <t>https://en.wikipedia.org/wiki/Chlamydia_infection</t>
  </si>
  <si>
    <t>Dengue fever</t>
  </si>
  <si>
    <t>https://en.wikipedia.org/wiki/Dengue_fever</t>
  </si>
  <si>
    <t>Cost of losing an OP appointment to re-examine a patient following a failed urine sample.  Cost from NHS cost table</t>
  </si>
  <si>
    <t>Cost from NHS cost table</t>
  </si>
  <si>
    <t>Antibiotic Stewardship</t>
  </si>
  <si>
    <t>http://www.icnetplc.com/en/node/1659</t>
  </si>
  <si>
    <t>"Apocalytic antibiotic scenario"</t>
  </si>
  <si>
    <t>The cost of antibiotic resistance in the US</t>
  </si>
  <si>
    <t>http://www.tufts.edu/med/apua/consumers/personal_home_5_1451036133.pdf</t>
  </si>
  <si>
    <t>http://www.telegraph.co.uk/news/science/science-news/11808015/Soft-touch-doctors-should-be-disciplined-for-over-prescribing-antibiotics.html</t>
  </si>
  <si>
    <t>Doctors should be disciplined for over-prescribing antibiotics - D Telegraph</t>
  </si>
  <si>
    <t>Year</t>
  </si>
  <si>
    <t>2011/12</t>
  </si>
  <si>
    <t>2012/13</t>
  </si>
  <si>
    <t>1013/14</t>
  </si>
  <si>
    <t>http://www.nhslothian.scot.nhs.uk/YourRights/FOI/RequestAndResponseRegister/2014/4920.pdf</t>
  </si>
  <si>
    <t>Antibiotic costs in Lothian</t>
  </si>
  <si>
    <t>http://www.scientificamerican.com/article/what-are-the-consequences-of-antibiotic-overuse/</t>
  </si>
  <si>
    <t>What are the costs of antibiotic overuse? - Scientific American</t>
  </si>
  <si>
    <t>https://www.england.nhs.uk/patientsafety/amr/</t>
  </si>
  <si>
    <t>Antimicrobial resistance - NHS</t>
  </si>
  <si>
    <t>http://www.testtargettreat.com/en/home/educational-resources/resistance-crisis/antimicrobial-stewardship-implementation.html</t>
  </si>
  <si>
    <t>Antimicrobial stewardship implementation - APUA</t>
  </si>
  <si>
    <t>Financial</t>
  </si>
  <si>
    <t>Societal</t>
  </si>
  <si>
    <t>Death rate</t>
  </si>
  <si>
    <t>per patient on average</t>
  </si>
  <si>
    <t>Alliance for the Prudent Use of Antimicrobials (APUA)</t>
  </si>
  <si>
    <t>US facts about Antibiotic Resistant Infections (ARI) 2010</t>
  </si>
  <si>
    <t>http://www.sciencedirect.com/science/article/pii/S1369527499000053</t>
  </si>
  <si>
    <t>The biological cost of antibiotic resistance</t>
  </si>
  <si>
    <t>Days lost</t>
  </si>
  <si>
    <t>2x</t>
  </si>
  <si>
    <t xml:space="preserve"> for patients without ARI</t>
  </si>
  <si>
    <t>in USA</t>
  </si>
  <si>
    <t>Costs</t>
  </si>
  <si>
    <t>to USA economy (equivalent to about $110 per person) at present</t>
  </si>
  <si>
    <t>http://www.rand.org/randeurope/research/projects/antimicrobial-resistance-costs.html</t>
  </si>
  <si>
    <t>Estimating the economic costs of antibiotic resistance - Rand Corporation</t>
  </si>
  <si>
    <t>http://www.rand.org/content/dam/rand/pubs/research_reports/RR900/RR911/RAND_RR911.pdf</t>
  </si>
  <si>
    <t>Total</t>
  </si>
  <si>
    <t>Total indirect costs</t>
  </si>
  <si>
    <t>Total indirect savings</t>
  </si>
  <si>
    <t>These are averages, please try your own estimates</t>
  </si>
  <si>
    <t>Elapsed time [hh:mm]</t>
  </si>
  <si>
    <t>Savings due to Peezy</t>
  </si>
  <si>
    <t>Patient 2nd sample</t>
  </si>
  <si>
    <t>2nd Lab retest</t>
  </si>
  <si>
    <t>Patient 1st sample</t>
  </si>
  <si>
    <t>1st Lab test</t>
  </si>
  <si>
    <t>Universal Container + Collection  product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</si>
</sst>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£&quot;#,##0_);[Red]\(&quot;£&quot;#,##0\)"/>
    <numFmt numFmtId="166" formatCode="&quot;£&quot;#,##0.00_);[Red]\(&quot;£&quot;#,##0.00\)"/>
    <numFmt numFmtId="167" formatCode="&quot;£&quot;#,##0"/>
    <numFmt numFmtId="168" formatCode="_-* #,##0_-;\-* #,##0_-;_-* &quot;-&quot;??_-;_-@_-"/>
    <numFmt numFmtId="169" formatCode="[hh]:mm"/>
    <numFmt numFmtId="170" formatCode="0&quot; days&quot;"/>
    <numFmt numFmtId="171" formatCode="[$$-409]#,##0.00"/>
    <numFmt numFmtId="172" formatCode="[$$-409]#,##0"/>
    <numFmt numFmtId="173" formatCode="\£#,##0;[Red]\-\£#,##0"/>
    <numFmt numFmtId="174" formatCode="\£#,##0.00"/>
    <numFmt numFmtId="175" formatCode="\£#,##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9"/>
      <name val="Tahoma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21"/>
      <name val="Arial"/>
      <family val="2"/>
    </font>
    <font>
      <u val="single"/>
      <sz val="10"/>
      <color indexed="21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u val="single"/>
      <sz val="14"/>
      <color indexed="21"/>
      <name val="Arial"/>
      <family val="2"/>
    </font>
    <font>
      <sz val="14"/>
      <color indexed="12"/>
      <name val="Arial"/>
      <family val="2"/>
    </font>
    <font>
      <u val="single"/>
      <sz val="14"/>
      <color indexed="12"/>
      <name val="Arial"/>
      <family val="2"/>
    </font>
    <font>
      <i/>
      <sz val="14"/>
      <color indexed="12"/>
      <name val="Arial"/>
      <family val="0"/>
    </font>
    <font>
      <sz val="16"/>
      <name val="Arial"/>
      <family val="0"/>
    </font>
    <font>
      <u val="single"/>
      <sz val="16"/>
      <color indexed="21"/>
      <name val="Arial"/>
      <family val="0"/>
    </font>
    <font>
      <b/>
      <sz val="16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20"/>
      <name val="Arial"/>
      <family val="2"/>
    </font>
    <font>
      <sz val="14"/>
      <color indexed="61"/>
      <name val="Arial"/>
      <family val="2"/>
    </font>
    <font>
      <sz val="36"/>
      <color indexed="20"/>
      <name val="Arial"/>
      <family val="0"/>
    </font>
    <font>
      <sz val="9.25"/>
      <color indexed="8"/>
      <name val="Arial"/>
      <family val="0"/>
    </font>
    <font>
      <sz val="9.5"/>
      <color indexed="8"/>
      <name val="Arial"/>
      <family val="0"/>
    </font>
    <font>
      <sz val="8.95"/>
      <color indexed="8"/>
      <name val="Arial"/>
      <family val="0"/>
    </font>
    <font>
      <sz val="8.25"/>
      <color indexed="8"/>
      <name val="Arial"/>
      <family val="0"/>
    </font>
    <font>
      <sz val="8.7"/>
      <color indexed="8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45.25"/>
      <color indexed="8"/>
      <name val="Arial"/>
      <family val="0"/>
    </font>
    <font>
      <sz val="22.5"/>
      <color indexed="52"/>
      <name val="Arial"/>
      <family val="0"/>
    </font>
    <font>
      <sz val="22.5"/>
      <color indexed="46"/>
      <name val="Arial"/>
      <family val="0"/>
    </font>
    <font>
      <sz val="22.25"/>
      <color indexed="8"/>
      <name val="Arial"/>
      <family val="0"/>
    </font>
    <font>
      <sz val="18.5"/>
      <color indexed="8"/>
      <name val="Arial"/>
      <family val="0"/>
    </font>
    <font>
      <sz val="22.05"/>
      <color indexed="8"/>
      <name val="Arial"/>
      <family val="0"/>
    </font>
    <font>
      <sz val="11"/>
      <color indexed="8"/>
      <name val="Arial"/>
      <family val="0"/>
    </font>
    <font>
      <sz val="13.25"/>
      <color indexed="8"/>
      <name val="Arial"/>
      <family val="0"/>
    </font>
    <font>
      <sz val="13.25"/>
      <color indexed="9"/>
      <name val="Arial"/>
      <family val="2"/>
    </font>
    <font>
      <sz val="13.5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2"/>
    </font>
    <font>
      <sz val="20.25"/>
      <color indexed="46"/>
      <name val="Arial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b/>
      <sz val="9"/>
      <color indexed="8"/>
      <name val="Arial"/>
      <family val="0"/>
    </font>
    <font>
      <b/>
      <sz val="22.5"/>
      <color indexed="8"/>
      <name val="Arial"/>
      <family val="0"/>
    </font>
    <font>
      <b/>
      <sz val="45"/>
      <color indexed="25"/>
      <name val="Arial"/>
      <family val="0"/>
    </font>
    <font>
      <b/>
      <sz val="16"/>
      <color indexed="8"/>
      <name val="Arial"/>
      <family val="0"/>
    </font>
    <font>
      <b/>
      <sz val="16.75"/>
      <color indexed="8"/>
      <name val="Arial"/>
      <family val="0"/>
    </font>
    <font>
      <sz val="10"/>
      <color indexed="10"/>
      <name val="Arial"/>
      <family val="0"/>
    </font>
    <font>
      <sz val="10"/>
      <color rgb="FFFF0000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57" applyFont="1" applyFill="1" applyBorder="1" applyAlignment="1" applyProtection="1">
      <alignment vertical="top"/>
      <protection hidden="1"/>
    </xf>
    <xf numFmtId="0" fontId="20" fillId="0" borderId="0" xfId="57" applyFont="1" applyFill="1" applyBorder="1" applyAlignment="1" applyProtection="1">
      <alignment horizontal="center" vertical="top" wrapText="1"/>
      <protection hidden="1"/>
    </xf>
    <xf numFmtId="0" fontId="21" fillId="0" borderId="0" xfId="57" applyFont="1" applyFill="1" applyBorder="1" applyAlignment="1" applyProtection="1">
      <alignment vertical="top" wrapText="1"/>
      <protection hidden="1"/>
    </xf>
    <xf numFmtId="0" fontId="21" fillId="0" borderId="0" xfId="57" applyFont="1" applyFill="1" applyBorder="1" applyAlignment="1" applyProtection="1">
      <alignment vertical="top"/>
      <protection hidden="1"/>
    </xf>
    <xf numFmtId="0" fontId="22" fillId="0" borderId="0" xfId="57" applyFont="1" applyFill="1" applyBorder="1" applyAlignment="1" applyProtection="1">
      <alignment vertical="top"/>
      <protection hidden="1"/>
    </xf>
    <xf numFmtId="3" fontId="23" fillId="0" borderId="0" xfId="57" applyNumberFormat="1" applyFont="1" applyFill="1" applyBorder="1" applyAlignment="1" applyProtection="1">
      <alignment horizontal="right" vertical="top"/>
      <protection locked="0"/>
    </xf>
    <xf numFmtId="3" fontId="0" fillId="0" borderId="0" xfId="57" applyNumberFormat="1" applyFont="1" applyFill="1" applyBorder="1" applyAlignment="1" applyProtection="1">
      <alignment horizontal="right" vertical="top"/>
      <protection hidden="1"/>
    </xf>
    <xf numFmtId="0" fontId="24" fillId="0" borderId="0" xfId="57" applyFont="1" applyFill="1" applyBorder="1" applyAlignment="1" applyProtection="1">
      <alignment vertical="top"/>
      <protection hidden="1"/>
    </xf>
    <xf numFmtId="0" fontId="25" fillId="0" borderId="0" xfId="57" applyFont="1" applyFill="1" applyBorder="1" applyAlignment="1" applyProtection="1">
      <alignment vertical="top"/>
      <protection hidden="1"/>
    </xf>
    <xf numFmtId="166" fontId="23" fillId="0" borderId="0" xfId="57" applyNumberFormat="1" applyFont="1" applyFill="1" applyBorder="1" applyAlignment="1" applyProtection="1">
      <alignment horizontal="right" vertical="top"/>
      <protection locked="0"/>
    </xf>
    <xf numFmtId="166" fontId="0" fillId="0" borderId="0" xfId="57" applyNumberFormat="1" applyFont="1" applyFill="1" applyBorder="1" applyAlignment="1" applyProtection="1">
      <alignment horizontal="right" vertical="top"/>
      <protection hidden="1"/>
    </xf>
    <xf numFmtId="6" fontId="24" fillId="0" borderId="0" xfId="57" applyNumberFormat="1" applyFont="1" applyFill="1" applyBorder="1" applyAlignment="1" applyProtection="1">
      <alignment vertical="top"/>
      <protection hidden="1"/>
    </xf>
    <xf numFmtId="164" fontId="23" fillId="0" borderId="0" xfId="60" applyNumberFormat="1" applyFont="1" applyFill="1" applyBorder="1" applyAlignment="1" applyProtection="1">
      <alignment horizontal="right" vertical="top"/>
      <protection locked="0"/>
    </xf>
    <xf numFmtId="164" fontId="23" fillId="0" borderId="0" xfId="60" applyNumberFormat="1" applyFont="1" applyFill="1" applyBorder="1" applyAlignment="1" applyProtection="1">
      <alignment horizontal="right" vertical="top"/>
      <protection hidden="1"/>
    </xf>
    <xf numFmtId="166" fontId="23" fillId="0" borderId="0" xfId="57" applyNumberFormat="1" applyFont="1" applyFill="1" applyBorder="1" applyAlignment="1" applyProtection="1">
      <alignment horizontal="right" vertical="top"/>
      <protection hidden="1"/>
    </xf>
    <xf numFmtId="6" fontId="25" fillId="0" borderId="0" xfId="57" applyNumberFormat="1" applyFont="1" applyFill="1" applyBorder="1" applyAlignment="1" applyProtection="1">
      <alignment vertical="top"/>
      <protection hidden="1"/>
    </xf>
    <xf numFmtId="4" fontId="21" fillId="0" borderId="0" xfId="57" applyNumberFormat="1" applyFont="1" applyFill="1" applyBorder="1" applyAlignment="1" applyProtection="1">
      <alignment vertical="top"/>
      <protection hidden="1"/>
    </xf>
    <xf numFmtId="165" fontId="21" fillId="0" borderId="0" xfId="57" applyNumberFormat="1" applyFont="1" applyFill="1" applyBorder="1" applyAlignment="1" applyProtection="1">
      <alignment horizontal="right" vertical="top"/>
      <protection hidden="1"/>
    </xf>
    <xf numFmtId="3" fontId="21" fillId="0" borderId="0" xfId="57" applyNumberFormat="1" applyFont="1" applyFill="1" applyBorder="1" applyAlignment="1" applyProtection="1">
      <alignment horizontal="right" vertical="top"/>
      <protection hidden="1"/>
    </xf>
    <xf numFmtId="0" fontId="26" fillId="0" borderId="0" xfId="57" applyFont="1" applyFill="1" applyBorder="1" applyAlignment="1" applyProtection="1">
      <alignment vertical="top"/>
      <protection hidden="1"/>
    </xf>
    <xf numFmtId="0" fontId="27" fillId="0" borderId="0" xfId="57" applyFont="1" applyFill="1" applyBorder="1" applyAlignment="1" applyProtection="1">
      <alignment vertical="top"/>
      <protection hidden="1"/>
    </xf>
    <xf numFmtId="0" fontId="20" fillId="0" borderId="0" xfId="57" applyFont="1" applyFill="1" applyBorder="1" applyAlignment="1" applyProtection="1">
      <alignment vertical="top"/>
      <protection hidden="1"/>
    </xf>
    <xf numFmtId="9" fontId="26" fillId="0" borderId="0" xfId="60" applyFont="1" applyFill="1" applyBorder="1" applyAlignment="1" applyProtection="1">
      <alignment vertical="top"/>
      <protection hidden="1"/>
    </xf>
    <xf numFmtId="6" fontId="21" fillId="0" borderId="0" xfId="57" applyNumberFormat="1" applyFont="1" applyFill="1" applyBorder="1" applyAlignment="1" applyProtection="1">
      <alignment vertical="top"/>
      <protection hidden="1"/>
    </xf>
    <xf numFmtId="167" fontId="21" fillId="0" borderId="0" xfId="57" applyNumberFormat="1" applyFont="1" applyFill="1" applyBorder="1" applyAlignment="1" applyProtection="1">
      <alignment vertical="top"/>
      <protection hidden="1"/>
    </xf>
    <xf numFmtId="168" fontId="21" fillId="0" borderId="0" xfId="42" applyNumberFormat="1" applyFont="1" applyFill="1" applyBorder="1" applyAlignment="1" applyProtection="1">
      <alignment vertical="top"/>
      <protection hidden="1"/>
    </xf>
    <xf numFmtId="167" fontId="23" fillId="0" borderId="0" xfId="57" applyNumberFormat="1" applyFont="1" applyFill="1" applyBorder="1" applyAlignment="1" applyProtection="1">
      <alignment horizontal="right" vertical="top"/>
      <protection hidden="1"/>
    </xf>
    <xf numFmtId="167" fontId="20" fillId="0" borderId="0" xfId="57" applyNumberFormat="1" applyFont="1" applyFill="1" applyBorder="1" applyAlignment="1" applyProtection="1">
      <alignment vertical="top"/>
      <protection hidden="1"/>
    </xf>
    <xf numFmtId="0" fontId="21" fillId="0" borderId="0" xfId="57" applyFont="1" applyFill="1" applyBorder="1" applyAlignment="1" applyProtection="1">
      <alignment horizontal="right" vertical="top"/>
      <protection hidden="1"/>
    </xf>
    <xf numFmtId="0" fontId="20" fillId="0" borderId="0" xfId="57" applyFont="1" applyFill="1" applyBorder="1" applyAlignment="1" applyProtection="1">
      <alignment horizontal="right" vertical="top" wrapText="1"/>
      <protection hidden="1"/>
    </xf>
    <xf numFmtId="0" fontId="26" fillId="0" borderId="0" xfId="0" applyFont="1" applyAlignment="1">
      <alignment/>
    </xf>
    <xf numFmtId="9" fontId="21" fillId="0" borderId="0" xfId="57" applyNumberFormat="1" applyFont="1" applyFill="1" applyBorder="1" applyAlignment="1" applyProtection="1">
      <alignment vertical="top"/>
      <protection hidden="1"/>
    </xf>
    <xf numFmtId="0" fontId="29" fillId="0" borderId="0" xfId="0" applyFont="1" applyAlignment="1">
      <alignment/>
    </xf>
    <xf numFmtId="0" fontId="32" fillId="0" borderId="0" xfId="53" applyFont="1" applyFill="1" applyBorder="1" applyAlignment="1" applyProtection="1">
      <alignment vertical="top"/>
      <protection hidden="1"/>
    </xf>
    <xf numFmtId="0" fontId="33" fillId="0" borderId="0" xfId="53" applyFont="1" applyAlignment="1" applyProtection="1">
      <alignment vertical="top"/>
      <protection/>
    </xf>
    <xf numFmtId="167" fontId="0" fillId="0" borderId="0" xfId="57" applyNumberFormat="1" applyFont="1" applyFill="1" applyBorder="1" applyAlignment="1" applyProtection="1">
      <alignment horizontal="right" vertical="top"/>
      <protection locked="0"/>
    </xf>
    <xf numFmtId="0" fontId="30" fillId="0" borderId="0" xfId="53" applyAlignment="1" applyProtection="1">
      <alignment/>
      <protection/>
    </xf>
    <xf numFmtId="0" fontId="30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57" applyNumberFormat="1" applyFont="1" applyFill="1" applyBorder="1" applyAlignment="1" applyProtection="1">
      <alignment vertical="top"/>
      <protection locked="0"/>
    </xf>
    <xf numFmtId="6" fontId="26" fillId="0" borderId="0" xfId="57" applyNumberFormat="1" applyFont="1" applyFill="1" applyBorder="1" applyAlignment="1" applyProtection="1">
      <alignment horizontal="right" vertical="top"/>
      <protection hidden="1"/>
    </xf>
    <xf numFmtId="8" fontId="26" fillId="0" borderId="0" xfId="57" applyNumberFormat="1" applyFont="1" applyFill="1" applyBorder="1" applyAlignment="1" applyProtection="1">
      <alignment horizontal="right" vertical="top"/>
      <protection hidden="1"/>
    </xf>
    <xf numFmtId="0" fontId="36" fillId="0" borderId="0" xfId="0" applyFont="1" applyAlignment="1">
      <alignment/>
    </xf>
    <xf numFmtId="6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172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right"/>
    </xf>
    <xf numFmtId="168" fontId="0" fillId="0" borderId="0" xfId="42" applyNumberFormat="1" applyFont="1" applyAlignment="1">
      <alignment horizontal="right"/>
    </xf>
    <xf numFmtId="165" fontId="25" fillId="0" borderId="0" xfId="57" applyNumberFormat="1" applyFont="1" applyFill="1" applyBorder="1" applyAlignment="1" applyProtection="1">
      <alignment vertical="top"/>
      <protection hidden="1"/>
    </xf>
    <xf numFmtId="168" fontId="25" fillId="0" borderId="0" xfId="42" applyNumberFormat="1" applyFont="1" applyFill="1" applyBorder="1" applyAlignment="1" applyProtection="1">
      <alignment vertical="top"/>
      <protection hidden="1"/>
    </xf>
    <xf numFmtId="6" fontId="20" fillId="0" borderId="0" xfId="57" applyNumberFormat="1" applyFont="1" applyFill="1" applyBorder="1" applyAlignment="1" applyProtection="1">
      <alignment vertical="top"/>
      <protection hidden="1"/>
    </xf>
    <xf numFmtId="0" fontId="35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53" applyFont="1" applyAlignment="1" applyProtection="1">
      <alignment vertical="top"/>
      <protection/>
    </xf>
    <xf numFmtId="20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69" fontId="41" fillId="0" borderId="0" xfId="0" applyNumberFormat="1" applyFont="1" applyAlignment="1">
      <alignment/>
    </xf>
    <xf numFmtId="169" fontId="38" fillId="0" borderId="0" xfId="0" applyNumberFormat="1" applyFont="1" applyAlignment="1">
      <alignment/>
    </xf>
    <xf numFmtId="20" fontId="38" fillId="0" borderId="0" xfId="0" applyNumberFormat="1" applyFont="1" applyAlignment="1">
      <alignment/>
    </xf>
    <xf numFmtId="169" fontId="38" fillId="0" borderId="0" xfId="0" applyNumberFormat="1" applyFont="1" applyAlignment="1">
      <alignment horizontal="right"/>
    </xf>
    <xf numFmtId="170" fontId="38" fillId="0" borderId="0" xfId="42" applyNumberFormat="1" applyFont="1" applyAlignment="1">
      <alignment/>
    </xf>
    <xf numFmtId="6" fontId="41" fillId="0" borderId="0" xfId="0" applyNumberFormat="1" applyFont="1" applyAlignment="1">
      <alignment/>
    </xf>
    <xf numFmtId="6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42" fillId="0" borderId="0" xfId="53" applyFont="1" applyAlignment="1" applyProtection="1">
      <alignment wrapText="1"/>
      <protection/>
    </xf>
    <xf numFmtId="0" fontId="40" fillId="0" borderId="0" xfId="53" applyFont="1" applyAlignment="1" applyProtection="1">
      <alignment vertical="top"/>
      <protection/>
    </xf>
    <xf numFmtId="0" fontId="39" fillId="0" borderId="0" xfId="0" applyFont="1" applyFill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43" fillId="0" borderId="0" xfId="0" applyFont="1" applyAlignment="1">
      <alignment/>
    </xf>
    <xf numFmtId="20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69" fontId="41" fillId="0" borderId="0" xfId="0" applyNumberFormat="1" applyFont="1" applyAlignment="1">
      <alignment/>
    </xf>
    <xf numFmtId="20" fontId="38" fillId="0" borderId="0" xfId="0" applyNumberFormat="1" applyFont="1" applyAlignment="1">
      <alignment/>
    </xf>
    <xf numFmtId="43" fontId="38" fillId="0" borderId="0" xfId="42" applyFont="1" applyAlignment="1">
      <alignment/>
    </xf>
    <xf numFmtId="43" fontId="38" fillId="0" borderId="0" xfId="0" applyNumberFormat="1" applyFont="1" applyAlignment="1">
      <alignment/>
    </xf>
    <xf numFmtId="6" fontId="41" fillId="0" borderId="0" xfId="0" applyNumberFormat="1" applyFont="1" applyAlignment="1">
      <alignment/>
    </xf>
    <xf numFmtId="6" fontId="38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53" applyFont="1" applyAlignment="1" applyProtection="1">
      <alignment vertical="top"/>
      <protection/>
    </xf>
    <xf numFmtId="0" fontId="46" fillId="0" borderId="0" xfId="0" applyFont="1" applyAlignment="1">
      <alignment/>
    </xf>
    <xf numFmtId="0" fontId="47" fillId="0" borderId="0" xfId="57" applyFont="1" applyFill="1" applyBorder="1" applyAlignment="1" applyProtection="1">
      <alignment horizontal="right" vertical="top" wrapText="1"/>
      <protection hidden="1"/>
    </xf>
    <xf numFmtId="0" fontId="29" fillId="0" borderId="0" xfId="57" applyFont="1" applyFill="1" applyBorder="1" applyAlignment="1" applyProtection="1">
      <alignment vertical="top"/>
      <protection hidden="1"/>
    </xf>
    <xf numFmtId="0" fontId="26" fillId="0" borderId="0" xfId="57" applyFont="1" applyFill="1" applyBorder="1" applyAlignment="1" applyProtection="1">
      <alignment horizontal="right" vertical="top" wrapText="1"/>
      <protection hidden="1"/>
    </xf>
    <xf numFmtId="0" fontId="26" fillId="0" borderId="0" xfId="57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Alignment="1">
      <alignment/>
    </xf>
    <xf numFmtId="0" fontId="0" fillId="0" borderId="0" xfId="57" applyFont="1" applyFill="1" applyBorder="1" applyAlignment="1" applyProtection="1">
      <alignment vertical="top" wrapText="1"/>
      <protection hidden="1"/>
    </xf>
    <xf numFmtId="0" fontId="48" fillId="0" borderId="0" xfId="57" applyFont="1" applyFill="1" applyBorder="1" applyAlignment="1" applyProtection="1">
      <alignment vertical="top"/>
      <protection hidden="1"/>
    </xf>
    <xf numFmtId="0" fontId="0" fillId="0" borderId="0" xfId="57" applyFont="1" applyFill="1" applyBorder="1" applyAlignment="1" applyProtection="1">
      <alignment vertical="top"/>
      <protection hidden="1"/>
    </xf>
    <xf numFmtId="3" fontId="0" fillId="0" borderId="0" xfId="57" applyNumberFormat="1" applyFont="1" applyFill="1" applyBorder="1" applyAlignment="1" applyProtection="1">
      <alignment horizontal="right" vertical="top"/>
      <protection locked="0"/>
    </xf>
    <xf numFmtId="166" fontId="0" fillId="0" borderId="0" xfId="57" applyNumberFormat="1" applyFont="1" applyFill="1" applyBorder="1" applyAlignment="1" applyProtection="1">
      <alignment horizontal="right" vertical="top"/>
      <protection locked="0"/>
    </xf>
    <xf numFmtId="164" fontId="0" fillId="0" borderId="0" xfId="60" applyNumberFormat="1" applyFont="1" applyFill="1" applyBorder="1" applyAlignment="1" applyProtection="1">
      <alignment horizontal="right" vertical="top"/>
      <protection locked="0"/>
    </xf>
    <xf numFmtId="4" fontId="0" fillId="0" borderId="0" xfId="57" applyNumberFormat="1" applyFont="1" applyFill="1" applyBorder="1" applyAlignment="1" applyProtection="1">
      <alignment vertical="top"/>
      <protection hidden="1"/>
    </xf>
    <xf numFmtId="168" fontId="0" fillId="0" borderId="0" xfId="42" applyNumberFormat="1" applyFont="1" applyFill="1" applyBorder="1" applyAlignment="1" applyProtection="1">
      <alignment vertical="top"/>
      <protection hidden="1"/>
    </xf>
    <xf numFmtId="165" fontId="0" fillId="0" borderId="0" xfId="57" applyNumberFormat="1" applyFont="1" applyFill="1" applyBorder="1" applyAlignment="1" applyProtection="1">
      <alignment horizontal="right" vertical="top"/>
      <protection hidden="1"/>
    </xf>
    <xf numFmtId="164" fontId="0" fillId="0" borderId="0" xfId="57" applyNumberFormat="1" applyFont="1" applyFill="1" applyBorder="1" applyAlignment="1" applyProtection="1">
      <alignment vertical="top"/>
      <protection hidden="1"/>
    </xf>
    <xf numFmtId="6" fontId="0" fillId="0" borderId="0" xfId="57" applyNumberFormat="1" applyFont="1" applyFill="1" applyBorder="1" applyAlignment="1" applyProtection="1">
      <alignment vertical="top"/>
      <protection hidden="1"/>
    </xf>
    <xf numFmtId="9" fontId="0" fillId="0" borderId="0" xfId="60" applyFont="1" applyFill="1" applyBorder="1" applyAlignment="1" applyProtection="1">
      <alignment vertical="top"/>
      <protection hidden="1"/>
    </xf>
    <xf numFmtId="8" fontId="50" fillId="0" borderId="0" xfId="0" applyNumberFormat="1" applyFont="1" applyAlignment="1">
      <alignment/>
    </xf>
    <xf numFmtId="8" fontId="50" fillId="0" borderId="0" xfId="0" applyNumberFormat="1" applyFont="1" applyAlignment="1">
      <alignment horizontal="left"/>
    </xf>
    <xf numFmtId="20" fontId="0" fillId="0" borderId="0" xfId="0" applyNumberFormat="1" applyAlignment="1">
      <alignment/>
    </xf>
    <xf numFmtId="8" fontId="51" fillId="0" borderId="0" xfId="0" applyNumberFormat="1" applyFont="1" applyAlignment="1">
      <alignment horizontal="left" vertical="top" wrapText="1"/>
    </xf>
    <xf numFmtId="8" fontId="37" fillId="0" borderId="0" xfId="57" applyNumberFormat="1" applyFont="1" applyFill="1" applyBorder="1" applyAlignment="1" applyProtection="1">
      <alignment horizontal="left" vertical="top" wrapText="1"/>
      <protection hidden="1"/>
    </xf>
    <xf numFmtId="8" fontId="49" fillId="0" borderId="0" xfId="57" applyNumberFormat="1" applyFont="1" applyFill="1" applyBorder="1" applyAlignment="1" applyProtection="1">
      <alignment horizontal="left" vertical="top" wrapText="1"/>
      <protection hidden="1"/>
    </xf>
    <xf numFmtId="0" fontId="44" fillId="0" borderId="0" xfId="0" applyFont="1" applyAlignment="1">
      <alignment vertical="top" wrapText="1"/>
    </xf>
    <xf numFmtId="0" fontId="82" fillId="0" borderId="0" xfId="57" applyFont="1" applyFill="1" applyBorder="1" applyAlignment="1" applyProtection="1">
      <alignment vertical="top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ezy calculator DR V1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 costs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45"/>
          <c:w val="0.679"/>
          <c:h val="0.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'Trust savings calculator'!$I$4</c:f>
              <c:strCache>
                <c:ptCount val="1"/>
                <c:pt idx="0">
                  <c:v>Specimen collection</c:v>
                </c:pt>
              </c:strCache>
            </c:strRef>
          </c:tx>
          <c:spPr>
            <a:solidFill>
              <a:srgbClr val="4600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'Trust savings calculator'!$D$1:$E$1</c:f>
              <c:strCache>
                <c:ptCount val="2"/>
                <c:pt idx="0">
                  <c:v>Peezy Midstream</c:v>
                </c:pt>
                <c:pt idx="1">
                  <c:v>Universal Container + Collection  product</c:v>
                </c:pt>
              </c:strCache>
            </c:strRef>
          </c:cat>
          <c:val>
            <c:numRef>
              <c:f>'Trust savings calculator'!$D$9:$E$9</c:f>
              <c:numCache>
                <c:ptCount val="2"/>
                <c:pt idx="0">
                  <c:v>148059.21</c:v>
                </c:pt>
                <c:pt idx="1">
                  <c:v>15316.47</c:v>
                </c:pt>
              </c:numCache>
            </c:numRef>
          </c:val>
        </c:ser>
        <c:ser>
          <c:idx val="1"/>
          <c:order val="1"/>
          <c:tx>
            <c:strRef>
              <c:f>'Trust savings calculator'!$I$5</c:f>
              <c:strCache>
                <c:ptCount val="1"/>
                <c:pt idx="0">
                  <c:v>Re-test collection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'Trust savings calculator'!$D$1:$E$1</c:f>
              <c:strCache>
                <c:ptCount val="2"/>
                <c:pt idx="0">
                  <c:v>Peezy Midstream</c:v>
                </c:pt>
                <c:pt idx="1">
                  <c:v>Universal Container + Collection  product</c:v>
                </c:pt>
              </c:strCache>
            </c:strRef>
          </c:cat>
          <c:val>
            <c:numRef>
              <c:f>'Trust savings calculator'!$D$12:$E$12</c:f>
              <c:numCache>
                <c:ptCount val="2"/>
                <c:pt idx="0">
                  <c:v>2220.8881499999998</c:v>
                </c:pt>
                <c:pt idx="1">
                  <c:v>2473.6099050000003</c:v>
                </c:pt>
              </c:numCache>
            </c:numRef>
          </c:val>
        </c:ser>
        <c:ser>
          <c:idx val="2"/>
          <c:order val="2"/>
          <c:tx>
            <c:strRef>
              <c:f>'Trust savings calculator'!$I$6</c:f>
              <c:strCache>
                <c:ptCount val="1"/>
                <c:pt idx="0">
                  <c:v>Additional lab analysis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'Trust savings calculator'!$D$1:$E$1</c:f>
              <c:strCache>
                <c:ptCount val="2"/>
                <c:pt idx="0">
                  <c:v>Peezy Midstream</c:v>
                </c:pt>
                <c:pt idx="1">
                  <c:v>Universal Container + Collection  product</c:v>
                </c:pt>
              </c:strCache>
            </c:strRef>
          </c:cat>
          <c:val>
            <c:numRef>
              <c:f>'Trust savings calculator'!$D$13:$E$13</c:f>
              <c:numCache>
                <c:ptCount val="2"/>
                <c:pt idx="0">
                  <c:v>19809.301199999998</c:v>
                </c:pt>
                <c:pt idx="1">
                  <c:v>213280.14292</c:v>
                </c:pt>
              </c:numCache>
            </c:numRef>
          </c:val>
        </c:ser>
        <c:overlap val="100"/>
        <c:gapWidth val="20"/>
        <c:axId val="14095495"/>
        <c:axId val="49023708"/>
      </c:barChart>
      <c:lineChart>
        <c:grouping val="standard"/>
        <c:varyColors val="0"/>
        <c:ser>
          <c:idx val="3"/>
          <c:order val="3"/>
          <c:tx>
            <c:strRef>
              <c:f>'Trust savings calculator'!$I$7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'Trust savings calculator'!$D$1:$E$1</c:f>
              <c:strCache>
                <c:ptCount val="2"/>
                <c:pt idx="0">
                  <c:v>Peezy Midstream</c:v>
                </c:pt>
                <c:pt idx="1">
                  <c:v>Universal Container + Collection  product</c:v>
                </c:pt>
              </c:strCache>
            </c:strRef>
          </c:cat>
          <c:val>
            <c:numRef>
              <c:f>'Trust savings calculator'!$J$7:$K$7</c:f>
              <c:numCache>
                <c:ptCount val="2"/>
                <c:pt idx="0">
                  <c:v>170089.39935</c:v>
                </c:pt>
                <c:pt idx="1">
                  <c:v>231070.222825</c:v>
                </c:pt>
              </c:numCache>
            </c:numRef>
          </c:val>
          <c:smooth val="0"/>
        </c:ser>
        <c:axId val="14095495"/>
        <c:axId val="49023708"/>
      </c:lineChart>
      <c:catAx>
        <c:axId val="1409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3708"/>
        <c:crosses val="autoZero"/>
        <c:auto val="1"/>
        <c:lblOffset val="100"/>
        <c:tickLblSkip val="1"/>
        <c:noMultiLvlLbl val="0"/>
      </c:catAx>
      <c:valAx>
        <c:axId val="49023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4055"/>
          <c:w val="0.293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600A5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Antibiotic costs in Lothian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685"/>
          <c:w val="0.965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'Antibiotic Stewardship'!$B$5:$B$7</c:f>
              <c:strCache/>
            </c:strRef>
          </c:cat>
          <c:val>
            <c:numRef>
              <c:f>'Antibiotic Stewardship'!$C$5:$C$7</c:f>
              <c:numCache/>
            </c:numRef>
          </c:val>
        </c:ser>
        <c:gapWidth val="30"/>
        <c:axId val="13916701"/>
        <c:axId val="46699386"/>
      </c:barChart>
      <c:catAx>
        <c:axId val="1391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9386"/>
        <c:crosses val="autoZero"/>
        <c:auto val="1"/>
        <c:lblOffset val="100"/>
        <c:tickLblSkip val="1"/>
        <c:noMultiLvlLbl val="0"/>
      </c:catAx>
      <c:valAx>
        <c:axId val="466993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16701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indirect costs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6"/>
          <c:w val="0.588"/>
          <c:h val="0.9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'Trust savings calculator'!$J$30</c:f>
              <c:strCache>
                <c:ptCount val="1"/>
                <c:pt idx="0">
                  <c:v>Retest appointment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'Trust savings calculator'!$K$29:$L$29</c:f>
              <c:strCache>
                <c:ptCount val="2"/>
                <c:pt idx="0">
                  <c:v>Peezy Midstream</c:v>
                </c:pt>
                <c:pt idx="1">
                  <c:v>Universal Container + Collection  product</c:v>
                </c:pt>
              </c:strCache>
            </c:strRef>
          </c:cat>
          <c:val>
            <c:numRef>
              <c:f>'Trust savings calculator'!$K$30:$L$30</c:f>
              <c:numCache>
                <c:ptCount val="2"/>
                <c:pt idx="0">
                  <c:v>262932.735</c:v>
                </c:pt>
                <c:pt idx="1">
                  <c:v>2830909.1135</c:v>
                </c:pt>
              </c:numCache>
            </c:numRef>
          </c:val>
        </c:ser>
        <c:ser>
          <c:idx val="1"/>
          <c:order val="1"/>
          <c:tx>
            <c:strRef>
              <c:f>'Trust savings calculator'!$J$31</c:f>
              <c:strCache>
                <c:ptCount val="1"/>
                <c:pt idx="0">
                  <c:v>Office administration cost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'Trust savings calculator'!$K$29:$L$29</c:f>
              <c:strCache>
                <c:ptCount val="2"/>
                <c:pt idx="0">
                  <c:v>Peezy Midstream</c:v>
                </c:pt>
                <c:pt idx="1">
                  <c:v>Universal Container + Collection  product</c:v>
                </c:pt>
              </c:strCache>
            </c:strRef>
          </c:cat>
          <c:val>
            <c:numRef>
              <c:f>'Trust savings calculator'!$K$31:$L$31</c:f>
              <c:numCache>
                <c:ptCount val="2"/>
                <c:pt idx="0">
                  <c:v>34036.59999999999</c:v>
                </c:pt>
                <c:pt idx="1">
                  <c:v>366460.7266666666</c:v>
                </c:pt>
              </c:numCache>
            </c:numRef>
          </c:val>
        </c:ser>
        <c:overlap val="100"/>
        <c:gapWidth val="20"/>
        <c:axId val="33328429"/>
        <c:axId val="30616394"/>
      </c:barChart>
      <c:catAx>
        <c:axId val="3332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16394"/>
        <c:crosses val="autoZero"/>
        <c:auto val="1"/>
        <c:lblOffset val="100"/>
        <c:tickLblSkip val="1"/>
        <c:noMultiLvlLbl val="0"/>
      </c:catAx>
      <c:valAx>
        <c:axId val="30616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175"/>
          <c:y val="0.292"/>
          <c:w val="0.38725"/>
          <c:h val="0.3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600A5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Patients' expenses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86"/>
          <c:w val="0.89475"/>
          <c:h val="0.973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'Trust savings calculator'!$A$27</c:f>
              <c:strCache>
                <c:ptCount val="1"/>
                <c:pt idx="0">
                  <c:v>Patients' expenses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'Trust savings calculator'!$D$1:$E$1</c:f>
              <c:strCache>
                <c:ptCount val="2"/>
                <c:pt idx="0">
                  <c:v>Peezy Midstream</c:v>
                </c:pt>
                <c:pt idx="1">
                  <c:v>Universal Container + Collection  product</c:v>
                </c:pt>
              </c:strCache>
            </c:strRef>
          </c:cat>
          <c:val>
            <c:numRef>
              <c:f>'Trust savings calculator'!$D$30:$E$30</c:f>
              <c:numCache>
                <c:ptCount val="2"/>
                <c:pt idx="0">
                  <c:v>230810.69374999998</c:v>
                </c:pt>
                <c:pt idx="1">
                  <c:v>2485061.8027083334</c:v>
                </c:pt>
              </c:numCache>
            </c:numRef>
          </c:val>
        </c:ser>
        <c:overlap val="100"/>
        <c:gapWidth val="20"/>
        <c:axId val="62468803"/>
        <c:axId val="6788072"/>
      </c:barChart>
      <c:catAx>
        <c:axId val="6246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88072"/>
        <c:crosses val="autoZero"/>
        <c:auto val="1"/>
        <c:lblOffset val="100"/>
        <c:tickLblSkip val="1"/>
        <c:noMultiLvlLbl val="0"/>
      </c:catAx>
      <c:valAx>
        <c:axId val="6788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68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600A5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 costs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3"/>
          <c:w val="0.6657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'Trust savings calculator'!$I$4</c:f>
              <c:strCache>
                <c:ptCount val="1"/>
                <c:pt idx="0">
                  <c:v>Specimen collection</c:v>
                </c:pt>
              </c:strCache>
            </c:strRef>
          </c:tx>
          <c:spPr>
            <a:solidFill>
              <a:srgbClr val="4600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'Trust savings calculator'!$D$1:$E$1</c:f>
              <c:strCache/>
            </c:strRef>
          </c:cat>
          <c:val>
            <c:numRef>
              <c:f>'Trust savings calculator'!$D$9:$E$9</c:f>
              <c:numCache/>
            </c:numRef>
          </c:val>
        </c:ser>
        <c:ser>
          <c:idx val="1"/>
          <c:order val="1"/>
          <c:tx>
            <c:strRef>
              <c:f>'Trust savings calculator'!$I$5</c:f>
              <c:strCache>
                <c:ptCount val="1"/>
                <c:pt idx="0">
                  <c:v>Re-test collection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'Trust savings calculator'!$D$1:$E$1</c:f>
              <c:strCache/>
            </c:strRef>
          </c:cat>
          <c:val>
            <c:numRef>
              <c:f>'Trust savings calculator'!$D$12:$E$12</c:f>
              <c:numCache/>
            </c:numRef>
          </c:val>
        </c:ser>
        <c:ser>
          <c:idx val="2"/>
          <c:order val="2"/>
          <c:tx>
            <c:strRef>
              <c:f>'Trust savings calculator'!$I$6</c:f>
              <c:strCache>
                <c:ptCount val="1"/>
                <c:pt idx="0">
                  <c:v>Additional lab analysis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'Trust savings calculator'!$D$1:$E$1</c:f>
              <c:strCache/>
            </c:strRef>
          </c:cat>
          <c:val>
            <c:numRef>
              <c:f>'Trust savings calculator'!$D$13:$E$13</c:f>
              <c:numCache/>
            </c:numRef>
          </c:val>
        </c:ser>
        <c:overlap val="100"/>
        <c:gapWidth val="20"/>
        <c:axId val="21136073"/>
        <c:axId val="6333494"/>
      </c:barChart>
      <c:lineChart>
        <c:grouping val="standard"/>
        <c:varyColors val="0"/>
        <c:ser>
          <c:idx val="3"/>
          <c:order val="3"/>
          <c:tx>
            <c:strRef>
              <c:f>'Trust savings calculator'!$I$7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'Trust savings calculator'!$D$1:$E$1</c:f>
              <c:strCache/>
            </c:strRef>
          </c:cat>
          <c:val>
            <c:numRef>
              <c:f>'Trust savings calculator'!$J$7:$K$7</c:f>
              <c:numCache/>
            </c:numRef>
          </c:val>
          <c:smooth val="0"/>
        </c:ser>
        <c:axId val="21136073"/>
        <c:axId val="6333494"/>
      </c:lineChart>
      <c:catAx>
        <c:axId val="2113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494"/>
        <c:crosses val="autoZero"/>
        <c:auto val="1"/>
        <c:lblOffset val="100"/>
        <c:tickLblSkip val="1"/>
        <c:noMultiLvlLbl val="0"/>
      </c:catAx>
      <c:valAx>
        <c:axId val="6333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36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41475"/>
          <c:w val="0.2335"/>
          <c:h val="0.2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direct, indirect and patient costs</a:t>
            </a:r>
          </a:p>
        </c:rich>
      </c:tx>
      <c:layout>
        <c:manualLayout>
          <c:xMode val="factor"/>
          <c:yMode val="factor"/>
          <c:x val="-0.01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8325"/>
          <c:w val="0.64675"/>
          <c:h val="0.91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'Trust savings calculator'!$A$15</c:f>
              <c:strCache>
                <c:ptCount val="1"/>
                <c:pt idx="0">
                  <c:v>Total direct specimen collection cost</c:v>
                </c:pt>
              </c:strCache>
            </c:strRef>
          </c:tx>
          <c:spPr>
            <a:solidFill>
              <a:srgbClr val="4600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'Trust savings calculator'!$D$1:$E$1</c:f>
              <c:strCache/>
            </c:strRef>
          </c:cat>
          <c:val>
            <c:numRef>
              <c:f>'Trust savings calculator'!$D$15:$E$15</c:f>
              <c:numCache/>
            </c:numRef>
          </c:val>
        </c:ser>
        <c:ser>
          <c:idx val="0"/>
          <c:order val="1"/>
          <c:tx>
            <c:strRef>
              <c:f>'Trust savings calculator'!$A$24</c:f>
              <c:strCache>
                <c:ptCount val="1"/>
                <c:pt idx="0">
                  <c:v>Total indirect costs</c:v>
                </c:pt>
              </c:strCache>
            </c:strRef>
          </c:tx>
          <c:spPr>
            <a:solidFill>
              <a:srgbClr val="1FB7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'Trust savings calculator'!$D$1:$E$1</c:f>
              <c:strCache/>
            </c:strRef>
          </c:cat>
          <c:val>
            <c:numRef>
              <c:f>'Trust savings calculator'!$D$24:$E$24</c:f>
              <c:numCache/>
            </c:numRef>
          </c:val>
        </c:ser>
        <c:ser>
          <c:idx val="3"/>
          <c:order val="2"/>
          <c:tx>
            <c:strRef>
              <c:f>'Trust savings calculator'!$A$27</c:f>
              <c:strCache>
                <c:ptCount val="1"/>
                <c:pt idx="0">
                  <c:v>Patients' expenses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'Trust savings calculator'!$D$1:$E$1</c:f>
              <c:strCache/>
            </c:strRef>
          </c:cat>
          <c:val>
            <c:numRef>
              <c:f>'Trust savings calculator'!$D$30:$E$30</c:f>
              <c:numCache/>
            </c:numRef>
          </c:val>
        </c:ser>
        <c:overlap val="100"/>
        <c:gapWidth val="20"/>
        <c:axId val="15226559"/>
        <c:axId val="63727540"/>
      </c:barChart>
      <c:catAx>
        <c:axId val="15226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7540"/>
        <c:crosses val="autoZero"/>
        <c:auto val="1"/>
        <c:lblOffset val="100"/>
        <c:tickLblSkip val="1"/>
        <c:noMultiLvlLbl val="0"/>
      </c:catAx>
      <c:valAx>
        <c:axId val="6372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6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433"/>
          <c:w val="0.3397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indirect costs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8625"/>
          <c:w val="0.661"/>
          <c:h val="0.9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'Trust savings calculator'!$J$30</c:f>
              <c:strCache>
                <c:ptCount val="1"/>
                <c:pt idx="0">
                  <c:v>Retest appointment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'Trust savings calculator'!$K$29:$L$29</c:f>
              <c:strCache/>
            </c:strRef>
          </c:cat>
          <c:val>
            <c:numRef>
              <c:f>'Trust savings calculator'!$K$30:$L$30</c:f>
              <c:numCache/>
            </c:numRef>
          </c:val>
        </c:ser>
        <c:ser>
          <c:idx val="1"/>
          <c:order val="1"/>
          <c:tx>
            <c:strRef>
              <c:f>'Trust savings calculator'!$J$31</c:f>
              <c:strCache>
                <c:ptCount val="1"/>
                <c:pt idx="0">
                  <c:v>Office administration cost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'Trust savings calculator'!$K$29:$L$29</c:f>
              <c:strCache/>
            </c:strRef>
          </c:cat>
          <c:val>
            <c:numRef>
              <c:f>'Trust savings calculator'!$K$31:$L$31</c:f>
              <c:numCache/>
            </c:numRef>
          </c:val>
        </c:ser>
        <c:overlap val="100"/>
        <c:gapWidth val="20"/>
        <c:axId val="23151653"/>
        <c:axId val="32536034"/>
      </c:barChart>
      <c:catAx>
        <c:axId val="23151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6034"/>
        <c:crosses val="autoZero"/>
        <c:auto val="1"/>
        <c:lblOffset val="100"/>
        <c:tickLblSkip val="1"/>
        <c:noMultiLvlLbl val="0"/>
      </c:catAx>
      <c:valAx>
        <c:axId val="32536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1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25"/>
          <c:y val="0.5275"/>
          <c:w val="0.26125"/>
          <c:h val="0.1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8"/>
          <c:w val="0.9375"/>
          <c:h val="0.91175"/>
        </c:manualLayout>
      </c:layout>
      <c:lineChart>
        <c:grouping val="standard"/>
        <c:varyColors val="0"/>
        <c:ser>
          <c:idx val="1"/>
          <c:order val="0"/>
          <c:tx>
            <c:strRef>
              <c:f>'Trust savings calculator'!$A$171</c:f>
              <c:strCache>
                <c:ptCount val="1"/>
                <c:pt idx="0">
                  <c:v>Cost saving. Breakeven contamination rate with Universal Container + Collection  product is 12%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'Trust savings calculator'!$D$169:$BB$169</c:f>
              <c:numCache/>
            </c:numRef>
          </c:cat>
          <c:val>
            <c:numRef>
              <c:f>'Trust savings calculator'!$D$170:$BB$170</c:f>
              <c:numCache/>
            </c:numRef>
          </c:val>
          <c:smooth val="0"/>
        </c:ser>
        <c:ser>
          <c:idx val="0"/>
          <c:order val="1"/>
          <c:tx>
            <c:strRef>
              <c:f>'Trust savings calculator'!$A$171</c:f>
              <c:strCache>
                <c:ptCount val="1"/>
                <c:pt idx="0">
                  <c:v>Cost saving. Breakeven contamination rate with Universal Container + Collection  product is 12%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DD0806"/>
              </a:solidFill>
              <a:ln>
                <a:solidFill>
                  <a:srgbClr val="9933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12"/>
              <c:spPr>
                <a:solidFill>
                  <a:srgbClr val="4600A5"/>
                </a:solidFill>
                <a:ln>
                  <a:solidFill>
                    <a:srgbClr val="CC99FF"/>
                  </a:solidFill>
                </a:ln>
              </c:spPr>
            </c:marker>
          </c:dPt>
          <c:dLbls>
            <c:numFmt formatCode="0%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'Trust savings calculator'!$D$169:$BB$169</c:f>
              <c:numCache/>
            </c:numRef>
          </c:cat>
          <c:val>
            <c:numRef>
              <c:f>'Trust savings calculator'!$D$172:$BB$172</c:f>
              <c:numCache/>
            </c:numRef>
          </c:val>
          <c:smooth val="0"/>
        </c:ser>
        <c:marker val="1"/>
        <c:axId val="20315259"/>
        <c:axId val="62771776"/>
      </c:lineChart>
      <c:catAx>
        <c:axId val="20315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Contamination rate</a:t>
                </a:r>
              </a:p>
            </c:rich>
          </c:tx>
          <c:layout>
            <c:manualLayout>
              <c:xMode val="factor"/>
              <c:yMode val="factor"/>
              <c:x val="0.004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71776"/>
        <c:crosses val="autoZero"/>
        <c:auto val="1"/>
        <c:lblOffset val="100"/>
        <c:tickLblSkip val="5"/>
        <c:noMultiLvlLbl val="0"/>
      </c:catAx>
      <c:valAx>
        <c:axId val="62771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saving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£#,##0;[Red]\-\£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15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0275"/>
          <c:y val="0.063"/>
          <c:w val="0.68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The Peezy timeline</a:t>
            </a:r>
          </a:p>
        </c:rich>
      </c:tx>
      <c:layout>
        <c:manualLayout>
          <c:xMode val="factor"/>
          <c:yMode val="factor"/>
          <c:x val="-0.217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"/>
          <c:w val="0.65975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'Peezy cost savings timeline'!$B$13</c:f>
              <c:strCache>
                <c:ptCount val="1"/>
                <c:pt idx="0">
                  <c:v>Universal Container + Collection  product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\£#,##0.00" sourceLinked="0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0" b="0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'Peezy cost savings timeline'!$C$12:$F$12</c:f>
              <c:strCache/>
            </c:strRef>
          </c:cat>
          <c:val>
            <c:numRef>
              <c:f>'Peezy cost savings timeline'!$C$13:$F$13</c:f>
              <c:numCache/>
            </c:numRef>
          </c:val>
          <c:smooth val="0"/>
        </c:ser>
        <c:ser>
          <c:idx val="1"/>
          <c:order val="1"/>
          <c:tx>
            <c:strRef>
              <c:f>'Peezy cost savings timeline'!$B$14</c:f>
              <c:strCache>
                <c:ptCount val="1"/>
                <c:pt idx="0">
                  <c:v>Peezy Midstream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numFmt formatCode="\£#,##0.00" sourceLinked="0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0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'Peezy cost savings timeline'!$C$12:$F$12</c:f>
              <c:strCache/>
            </c:strRef>
          </c:cat>
          <c:val>
            <c:numRef>
              <c:f>'Peezy cost savings timeline'!$C$14:$D$14</c:f>
              <c:numCache/>
            </c:numRef>
          </c:val>
          <c:smooth val="0"/>
        </c:ser>
        <c:marker val="1"/>
        <c:axId val="10726721"/>
        <c:axId val="5229646"/>
      </c:lineChart>
      <c:catAx>
        <c:axId val="1072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646"/>
        <c:crosses val="autoZero"/>
        <c:auto val="1"/>
        <c:lblOffset val="100"/>
        <c:tickLblSkip val="1"/>
        <c:noMultiLvlLbl val="0"/>
      </c:catAx>
      <c:valAx>
        <c:axId val="522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costs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£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6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2025" b="0" i="0" u="none" baseline="0">
                <a:solidFill>
                  <a:srgbClr val="CC99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995"/>
          <c:y val="0.27475"/>
          <c:w val="0.27175"/>
          <c:h val="0.2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5"/>
          <c:w val="0.9875"/>
          <c:h val="0.92075"/>
        </c:manualLayout>
      </c:layout>
      <c:lineChart>
        <c:grouping val="standard"/>
        <c:varyColors val="0"/>
        <c:ser>
          <c:idx val="1"/>
          <c:order val="0"/>
          <c:tx>
            <c:strRef>
              <c:f>'Trust savings calculator'!$A$171</c:f>
              <c:strCache>
                <c:ptCount val="1"/>
                <c:pt idx="0">
                  <c:v>Cost saving. Breakeven contamination rate with Universal Container + Collection  product is 12%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'Trust savings calculator'!$D$169:$BB$169</c:f>
              <c:numCache>
                <c:ptCount val="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</c:numCache>
            </c:numRef>
          </c:cat>
          <c:val>
            <c:numRef>
              <c:f>'Trust savings calculator'!$D$170:$BB$170</c:f>
              <c:numCache>
                <c:ptCount val="51"/>
                <c:pt idx="0">
                  <c:v>-154772.9293500001</c:v>
                </c:pt>
                <c:pt idx="1">
                  <c:v>-141413.56385000004</c:v>
                </c:pt>
                <c:pt idx="2">
                  <c:v>-128054.1983500002</c:v>
                </c:pt>
                <c:pt idx="3">
                  <c:v>-114694.83285000012</c:v>
                </c:pt>
                <c:pt idx="4">
                  <c:v>-101335.46735000005</c:v>
                </c:pt>
                <c:pt idx="5">
                  <c:v>-87976.10185000021</c:v>
                </c:pt>
                <c:pt idx="6">
                  <c:v>-74616.73635000014</c:v>
                </c:pt>
                <c:pt idx="7">
                  <c:v>-61257.370850000065</c:v>
                </c:pt>
                <c:pt idx="8">
                  <c:v>-47898.005350000225</c:v>
                </c:pt>
                <c:pt idx="9">
                  <c:v>-34538.63985000015</c:v>
                </c:pt>
                <c:pt idx="10">
                  <c:v>-21179.27435000008</c:v>
                </c:pt>
                <c:pt idx="11">
                  <c:v>-7819.90885000024</c:v>
                </c:pt>
                <c:pt idx="12">
                  <c:v>5539.456649999833</c:v>
                </c:pt>
                <c:pt idx="13">
                  <c:v>18898.822149999673</c:v>
                </c:pt>
                <c:pt idx="14">
                  <c:v>32258.187649999745</c:v>
                </c:pt>
                <c:pt idx="15">
                  <c:v>45617.55315000005</c:v>
                </c:pt>
                <c:pt idx="16">
                  <c:v>58976.91864999989</c:v>
                </c:pt>
                <c:pt idx="17">
                  <c:v>72336.28414999996</c:v>
                </c:pt>
                <c:pt idx="18">
                  <c:v>85695.64965000004</c:v>
                </c:pt>
                <c:pt idx="19">
                  <c:v>99055.01514999988</c:v>
                </c:pt>
                <c:pt idx="20">
                  <c:v>112414.38064999995</c:v>
                </c:pt>
                <c:pt idx="21">
                  <c:v>125773.74615000002</c:v>
                </c:pt>
                <c:pt idx="22">
                  <c:v>139133.11164999986</c:v>
                </c:pt>
                <c:pt idx="23">
                  <c:v>152492.47714999993</c:v>
                </c:pt>
                <c:pt idx="24">
                  <c:v>165851.84265</c:v>
                </c:pt>
                <c:pt idx="25">
                  <c:v>179211.20814999985</c:v>
                </c:pt>
                <c:pt idx="26">
                  <c:v>192570.57364999992</c:v>
                </c:pt>
                <c:pt idx="27">
                  <c:v>205929.93915</c:v>
                </c:pt>
                <c:pt idx="28">
                  <c:v>219289.30464999983</c:v>
                </c:pt>
                <c:pt idx="29">
                  <c:v>232648.67015000014</c:v>
                </c:pt>
                <c:pt idx="30">
                  <c:v>246008.03564999998</c:v>
                </c:pt>
                <c:pt idx="31">
                  <c:v>259367.40115000005</c:v>
                </c:pt>
                <c:pt idx="32">
                  <c:v>272726.7666500001</c:v>
                </c:pt>
                <c:pt idx="33">
                  <c:v>286086.13214999996</c:v>
                </c:pt>
                <c:pt idx="34">
                  <c:v>299445.49765000003</c:v>
                </c:pt>
                <c:pt idx="35">
                  <c:v>312804.8631500001</c:v>
                </c:pt>
                <c:pt idx="36">
                  <c:v>326164.22864999995</c:v>
                </c:pt>
                <c:pt idx="37">
                  <c:v>339523.59415</c:v>
                </c:pt>
                <c:pt idx="38">
                  <c:v>352882.9596500001</c:v>
                </c:pt>
                <c:pt idx="39">
                  <c:v>366242.32514999993</c:v>
                </c:pt>
                <c:pt idx="40">
                  <c:v>379601.69065000024</c:v>
                </c:pt>
                <c:pt idx="41">
                  <c:v>392961.0561500001</c:v>
                </c:pt>
                <c:pt idx="42">
                  <c:v>406320.4216499999</c:v>
                </c:pt>
                <c:pt idx="43">
                  <c:v>419679.7871500002</c:v>
                </c:pt>
                <c:pt idx="44">
                  <c:v>433039.15265000006</c:v>
                </c:pt>
                <c:pt idx="45">
                  <c:v>446398.5181499999</c:v>
                </c:pt>
                <c:pt idx="46">
                  <c:v>459757.8836500002</c:v>
                </c:pt>
                <c:pt idx="47">
                  <c:v>473117.2491500003</c:v>
                </c:pt>
                <c:pt idx="48">
                  <c:v>486476.6146500001</c:v>
                </c:pt>
                <c:pt idx="49">
                  <c:v>499835.9801500002</c:v>
                </c:pt>
                <c:pt idx="50">
                  <c:v>513195.34565000026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'Trust savings calculator'!$A$171</c:f>
              <c:strCache>
                <c:ptCount val="1"/>
                <c:pt idx="0">
                  <c:v>Cost saving. Breakeven contamination rate with Universal Container + Collection  product is 12%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DD0806"/>
              </a:solidFill>
              <a:ln>
                <a:solidFill>
                  <a:srgbClr val="9933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12"/>
              <c:spPr>
                <a:solidFill>
                  <a:srgbClr val="4600A5"/>
                </a:solidFill>
                <a:ln>
                  <a:solidFill>
                    <a:srgbClr val="CC99FF"/>
                  </a:solidFill>
                </a:ln>
              </c:spPr>
            </c:marke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993366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'Trust savings calculator'!$D$169:$BB$169</c:f>
              <c:numCache>
                <c:ptCount val="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</c:numCache>
            </c:numRef>
          </c:cat>
          <c:val>
            <c:numRef>
              <c:f>'Trust savings calculator'!$D$172:$BB$172</c:f>
              <c:numCach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0.11999999999999998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val>
          <c:smooth val="0"/>
        </c:ser>
        <c:marker val="1"/>
        <c:axId val="876535"/>
        <c:axId val="11394956"/>
      </c:lineChart>
      <c:catAx>
        <c:axId val="876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Contamination rate</a:t>
                </a:r>
              </a:p>
            </c:rich>
          </c:tx>
          <c:layout>
            <c:manualLayout>
              <c:xMode val="factor"/>
              <c:yMode val="factor"/>
              <c:x val="0.007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4956"/>
        <c:crosses val="autoZero"/>
        <c:auto val="1"/>
        <c:lblOffset val="100"/>
        <c:tickLblSkip val="5"/>
        <c:noMultiLvlLbl val="0"/>
      </c:catAx>
      <c:valAx>
        <c:axId val="11394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saving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£#,##0;[Red]\-\£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6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95"/>
          <c:y val="0.0705"/>
          <c:w val="0.427"/>
          <c:h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png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2</xdr:col>
      <xdr:colOff>190500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"/>
          <a:ext cx="7620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191000"/>
        <a:ext cx="53149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16</xdr:col>
      <xdr:colOff>0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5314950" y="4191000"/>
        <a:ext cx="4133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27</xdr:row>
      <xdr:rowOff>0</xdr:rowOff>
    </xdr:from>
    <xdr:to>
      <xdr:col>23</xdr:col>
      <xdr:colOff>0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9448800" y="4191000"/>
        <a:ext cx="41338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876800" y="485775"/>
        <a:ext cx="5334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257175</xdr:colOff>
      <xdr:row>0</xdr:row>
      <xdr:rowOff>200025</xdr:rowOff>
    </xdr:from>
    <xdr:to>
      <xdr:col>1</xdr:col>
      <xdr:colOff>733425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00025"/>
          <a:ext cx="4762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16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4876800" y="5476875"/>
        <a:ext cx="53340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16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4876800" y="2952750"/>
        <a:ext cx="53340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24</xdr:col>
      <xdr:colOff>0</xdr:colOff>
      <xdr:row>30</xdr:row>
      <xdr:rowOff>0</xdr:rowOff>
    </xdr:to>
    <xdr:graphicFrame>
      <xdr:nvGraphicFramePr>
        <xdr:cNvPr id="5" name="Chart 42"/>
        <xdr:cNvGraphicFramePr/>
      </xdr:nvGraphicFramePr>
      <xdr:xfrm>
        <a:off x="10210800" y="485775"/>
        <a:ext cx="4914900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46970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22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29921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65913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0</xdr:colOff>
      <xdr:row>87</xdr:row>
      <xdr:rowOff>9525</xdr:rowOff>
    </xdr:to>
    <xdr:grpSp>
      <xdr:nvGrpSpPr>
        <xdr:cNvPr id="2" name="Group 4"/>
        <xdr:cNvGrpSpPr>
          <a:grpSpLocks/>
        </xdr:cNvGrpSpPr>
      </xdr:nvGrpSpPr>
      <xdr:grpSpPr>
        <a:xfrm>
          <a:off x="609600" y="4800600"/>
          <a:ext cx="6591300" cy="9239250"/>
          <a:chOff x="64" y="510"/>
          <a:chExt cx="568" cy="970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510"/>
            <a:ext cx="568" cy="8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4" y="1377"/>
            <a:ext cx="557" cy="103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hslothian.scot.nhs.uk/YourRights/FOI/RequestAndResponseRegister/2014/4920.pdf" TargetMode="External" /><Relationship Id="rId2" Type="http://schemas.openxmlformats.org/officeDocument/2006/relationships/hyperlink" Target="http://www.tufts.edu/med/apua/consumers/personal_home_5_1451036133.pdf" TargetMode="External" /><Relationship Id="rId3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rls.npsa.nhs.uk/" TargetMode="External" /><Relationship Id="rId2" Type="http://schemas.openxmlformats.org/officeDocument/2006/relationships/hyperlink" Target="http://www.nrls.npsa.nhs.uk/EasySiteWeb/getresource.axd?AssetID=61814" TargetMode="External" /><Relationship Id="rId3" Type="http://schemas.openxmlformats.org/officeDocument/2006/relationships/hyperlink" Target="http://www.nhsemployers.org/staffwelfareissues" TargetMode="External" /><Relationship Id="rId4" Type="http://schemas.openxmlformats.org/officeDocument/2006/relationships/hyperlink" Target="http://www.nhsemployers.org/~/media/Employers/Publications/workplace-health-safety-standards.pdf" TargetMode="External" /><Relationship Id="rId5" Type="http://schemas.openxmlformats.org/officeDocument/2006/relationships/hyperlink" Target="http://www.hscic.gov.uk/catalogue/PUB17274" TargetMode="External" /><Relationship Id="rId6" Type="http://schemas.openxmlformats.org/officeDocument/2006/relationships/hyperlink" Target="http://www.nrls.npsa.nhs.uk/resources/?EntryId45=59818" TargetMode="External" /><Relationship Id="rId7" Type="http://schemas.openxmlformats.org/officeDocument/2006/relationships/hyperlink" Target="https://www.gov.uk/government/collections/nhs-reference-costs" TargetMode="External" /><Relationship Id="rId8" Type="http://schemas.openxmlformats.org/officeDocument/2006/relationships/hyperlink" Target="http://www.nhsprofessionals.nhs.uk/Download/comms/CG1_NHSP_Standard_Infection_Control_Precautions_v3.pdf" TargetMode="External" /><Relationship Id="rId9" Type="http://schemas.openxmlformats.org/officeDocument/2006/relationships/hyperlink" Target="https://www.gov.uk/government/uploads/system/uploads/attachment_data/file/434202/carter-interim-report.pdf" TargetMode="External" /><Relationship Id="rId10" Type="http://schemas.openxmlformats.org/officeDocument/2006/relationships/hyperlink" Target="http://www.hpft.nhs.uk/_uploads/documents/the-trust/freedom-of-info/disclosure/specimen-collection-for-microbiological-analysis.pdf" TargetMode="External" /><Relationship Id="rId11" Type="http://schemas.openxmlformats.org/officeDocument/2006/relationships/hyperlink" Target="https://en.wikipedia.org/wiki/Rotavirus" TargetMode="External" /><Relationship Id="rId12" Type="http://schemas.openxmlformats.org/officeDocument/2006/relationships/hyperlink" Target="https://en.wikipedia.org/wiki/Japanese_encephalitis" TargetMode="External" /><Relationship Id="rId13" Type="http://schemas.openxmlformats.org/officeDocument/2006/relationships/hyperlink" Target="https://en.wikipedia.org/wiki/Streptococcus" TargetMode="External" /><Relationship Id="rId14" Type="http://schemas.openxmlformats.org/officeDocument/2006/relationships/hyperlink" Target="https://en.wikipedia.org/wiki/Escherichia_coli" TargetMode="External" /><Relationship Id="rId15" Type="http://schemas.openxmlformats.org/officeDocument/2006/relationships/hyperlink" Target="https://en.wikipedia.org/wiki/Chlamydia_infection" TargetMode="External" /><Relationship Id="rId16" Type="http://schemas.openxmlformats.org/officeDocument/2006/relationships/hyperlink" Target="https://en.wikipedia.org/wiki/Dengue_fever" TargetMode="External" /><Relationship Id="rId17" Type="http://schemas.openxmlformats.org/officeDocument/2006/relationships/hyperlink" Target="http://www.icnetplc.com/en/node/1659" TargetMode="External" /><Relationship Id="rId18" Type="http://schemas.openxmlformats.org/officeDocument/2006/relationships/hyperlink" Target="http://www.tufts.edu/med/apua/consumers/personal_home_5_1451036133.pdf" TargetMode="External" /><Relationship Id="rId19" Type="http://schemas.openxmlformats.org/officeDocument/2006/relationships/hyperlink" Target="http://www.telegraph.co.uk/news/science/science-news/11808015/Soft-touch-doctors-should-be-disciplined-for-over-prescribing-antibiotics.html" TargetMode="External" /><Relationship Id="rId20" Type="http://schemas.openxmlformats.org/officeDocument/2006/relationships/hyperlink" Target="http://www.nhslothian.scot.nhs.uk/YourRights/FOI/RequestAndResponseRegister/2014/4920.pdf" TargetMode="External" /><Relationship Id="rId21" Type="http://schemas.openxmlformats.org/officeDocument/2006/relationships/hyperlink" Target="http://www.scientificamerican.com/article/what-are-the-consequences-of-antibiotic-overuse/" TargetMode="External" /><Relationship Id="rId22" Type="http://schemas.openxmlformats.org/officeDocument/2006/relationships/hyperlink" Target="https://www.england.nhs.uk/patientsafety/amr/" TargetMode="External" /><Relationship Id="rId23" Type="http://schemas.openxmlformats.org/officeDocument/2006/relationships/hyperlink" Target="http://www.testtargettreat.com/en/home/educational-resources/resistance-crisis/antimicrobial-stewardship-implementation.html" TargetMode="External" /><Relationship Id="rId24" Type="http://schemas.openxmlformats.org/officeDocument/2006/relationships/hyperlink" Target="http://www.sciencedirect.com/science/article/pii/S1369527499000053" TargetMode="External" /><Relationship Id="rId25" Type="http://schemas.openxmlformats.org/officeDocument/2006/relationships/hyperlink" Target="http://www.rand.org/randeurope/research/projects/antimicrobial-resistance-costs.html" TargetMode="External" /><Relationship Id="rId26" Type="http://schemas.openxmlformats.org/officeDocument/2006/relationships/hyperlink" Target="http://www.rand.org/content/dam/rand/pubs/research_reports/RR900/RR911/RAND_RR9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D5:R26"/>
  <sheetViews>
    <sheetView showGridLines="0" showRowColHeaders="0" zoomScale="90" zoomScaleNormal="90" workbookViewId="0" topLeftCell="A4">
      <selection activeCell="H53" sqref="H53"/>
    </sheetView>
  </sheetViews>
  <sheetFormatPr defaultColWidth="8.8515625" defaultRowHeight="12.75"/>
  <sheetData>
    <row r="5" spans="4:18" ht="12.75">
      <c r="D5" s="107" t="str">
        <f>'Trust savings calculator'!G1</f>
        <v>With lab tests costing £7.76 each [2012/13 NHS reference costs], and current average Trust contamination rate of 16.2%, Peezy generates a direct saving of £358 plus potential indirect savings of up to £17,043 per every 1,000 patients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4:18" ht="12.75"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4:18" ht="12.75"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4:18" ht="12"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4:18" ht="12"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4:18" ht="12"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4:18" ht="12"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4:18" ht="12"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4:18" ht="12"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4:18" ht="12"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4:18" ht="12"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4:18" ht="12"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4:18" ht="12"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4:18" ht="12"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4:18" ht="12"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4:18" ht="12"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4:18" ht="12"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4:18" ht="12"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4:18" ht="12"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4:18" ht="12"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4:18" ht="12"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4:18" ht="12"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</sheetData>
  <sheetProtection/>
  <mergeCells count="1">
    <mergeCell ref="D5:R2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BC172"/>
  <sheetViews>
    <sheetView showGridLines="0" showRowColHeaders="0" tabSelected="1" workbookViewId="0" topLeftCell="A1">
      <selection activeCell="A7" sqref="A7"/>
    </sheetView>
  </sheetViews>
  <sheetFormatPr defaultColWidth="8.8515625" defaultRowHeight="12.75"/>
  <cols>
    <col min="1" max="1" width="23.7109375" style="4" customWidth="1"/>
    <col min="2" max="2" width="11.28125" style="4" customWidth="1"/>
    <col min="3" max="3" width="5.00390625" style="4" customWidth="1"/>
    <col min="4" max="4" width="12.8515625" style="4" customWidth="1"/>
    <col min="5" max="5" width="17.140625" style="4" customWidth="1"/>
    <col min="6" max="6" width="3.140625" style="4" customWidth="1"/>
    <col min="7" max="7" width="12.7109375" style="4" bestFit="1" customWidth="1"/>
    <col min="8" max="9" width="8.8515625" style="4" customWidth="1"/>
    <col min="10" max="12" width="4.7109375" style="4" customWidth="1"/>
    <col min="13" max="18" width="8.8515625" style="4" customWidth="1"/>
    <col min="19" max="19" width="11.7109375" style="4" bestFit="1" customWidth="1"/>
    <col min="20" max="16384" width="8.8515625" style="4" customWidth="1"/>
  </cols>
  <sheetData>
    <row r="1" spans="1:24" s="3" customFormat="1" ht="38.25" customHeight="1">
      <c r="A1" s="1" t="s">
        <v>0</v>
      </c>
      <c r="B1" s="1"/>
      <c r="C1" s="1"/>
      <c r="D1" s="30" t="s">
        <v>1</v>
      </c>
      <c r="E1" s="87" t="s">
        <v>149</v>
      </c>
      <c r="F1" s="2"/>
      <c r="G1" s="108" t="str">
        <f>"With lab tests costing "&amp;TEXT(D4,"£0.00")&amp;" each [2012/13 NHS reference costs], and current average Trust contamination rate of "&amp;TEXT(E5,"0.0%")&amp;", Peezy generates a direct saving of "&amp;TEXT(D16*1000/D3,"£0,0")&amp;" plus potential indirect savings of up to "&amp;TEXT(D25*1000/D3,"£0,0")&amp;" per every 1,000 patients"</f>
        <v>With lab tests costing £7.76 each [2012/13 NHS reference costs], and current average Trust contamination rate of 16.2%, Peezy generates a direct saving of £358 plus potential indirect savings of up to £17,043 per every 1,000 patients</v>
      </c>
      <c r="H1" s="108"/>
      <c r="I1" s="108"/>
      <c r="J1" s="108"/>
      <c r="K1" s="108"/>
      <c r="L1" s="108"/>
      <c r="M1" s="108"/>
      <c r="N1" s="108"/>
      <c r="O1" s="108"/>
      <c r="P1" s="108"/>
      <c r="Q1" s="108" t="str">
        <f>"If the current contamination rate using "&amp;E1&amp;" is "&amp;TEXT('Trust savings calculator'!B171,"0%")&amp;" or higher, Peezy will generate savings as shown below"</f>
        <v>If the current contamination rate using Universal Container + Collection  product is 12% or higher, Peezy will generate savings as shown below</v>
      </c>
      <c r="R1" s="108"/>
      <c r="S1" s="108"/>
      <c r="T1" s="108"/>
      <c r="U1" s="108"/>
      <c r="V1" s="108"/>
      <c r="W1" s="108"/>
      <c r="X1" s="108"/>
    </row>
    <row r="2" spans="1:24" s="3" customFormat="1" ht="15.75">
      <c r="A2" s="5" t="s">
        <v>2</v>
      </c>
      <c r="B2" s="5"/>
      <c r="C2" s="5"/>
      <c r="D2" s="2"/>
      <c r="E2" s="2"/>
      <c r="F2" s="2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2.75">
      <c r="A3" s="4" t="s">
        <v>3</v>
      </c>
      <c r="D3" s="6">
        <v>170183</v>
      </c>
      <c r="E3" s="7">
        <f>D3</f>
        <v>170183</v>
      </c>
      <c r="F3" s="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14" ht="12.75" customHeight="1">
      <c r="A4" s="4" t="s">
        <v>4</v>
      </c>
      <c r="D4" s="10">
        <v>7.76</v>
      </c>
      <c r="E4" s="11">
        <f>D4</f>
        <v>7.76</v>
      </c>
      <c r="F4" s="11"/>
      <c r="I4" s="8" t="s">
        <v>5</v>
      </c>
      <c r="J4" s="12">
        <f>D9</f>
        <v>148059.21</v>
      </c>
      <c r="K4" s="12">
        <f>E9</f>
        <v>15316.47</v>
      </c>
      <c r="L4" s="9"/>
      <c r="M4" s="9"/>
      <c r="N4" s="9"/>
    </row>
    <row r="5" spans="1:14" ht="12.75">
      <c r="A5" s="4" t="s">
        <v>6</v>
      </c>
      <c r="D5" s="13">
        <v>0.015</v>
      </c>
      <c r="E5" s="13">
        <v>0.1615</v>
      </c>
      <c r="F5" s="14"/>
      <c r="I5" s="8" t="s">
        <v>7</v>
      </c>
      <c r="J5" s="12">
        <f>D12</f>
        <v>2220.8881499999998</v>
      </c>
      <c r="K5" s="12">
        <f>E12</f>
        <v>2473.6099050000003</v>
      </c>
      <c r="L5" s="9"/>
      <c r="M5" s="9"/>
      <c r="N5" s="9"/>
    </row>
    <row r="6" spans="1:14" ht="12.75">
      <c r="A6" s="4" t="s">
        <v>8</v>
      </c>
      <c r="D6" s="10">
        <v>0.87</v>
      </c>
      <c r="E6" s="10">
        <v>0.09</v>
      </c>
      <c r="F6" s="15"/>
      <c r="I6" s="8" t="s">
        <v>9</v>
      </c>
      <c r="J6" s="12">
        <f>D13</f>
        <v>19809.301199999998</v>
      </c>
      <c r="K6" s="12">
        <f>E13</f>
        <v>213280.14292</v>
      </c>
      <c r="L6" s="9"/>
      <c r="M6" s="9"/>
      <c r="N6" s="9"/>
    </row>
    <row r="7" spans="1:22" ht="12.75">
      <c r="A7" s="111" t="s">
        <v>10</v>
      </c>
      <c r="D7" s="10">
        <v>0</v>
      </c>
      <c r="E7" s="10">
        <v>0</v>
      </c>
      <c r="F7" s="15"/>
      <c r="I7" s="8"/>
      <c r="J7" s="12">
        <f>SUM(J4:J6)</f>
        <v>170089.39935</v>
      </c>
      <c r="K7" s="12">
        <f>SUM(K4:K6)</f>
        <v>231070.222825</v>
      </c>
      <c r="L7" s="16">
        <f>K7-J7</f>
        <v>60980.82347500001</v>
      </c>
      <c r="M7" s="9"/>
      <c r="N7" s="9"/>
      <c r="S7" s="53"/>
      <c r="T7" s="9"/>
      <c r="U7" s="9"/>
      <c r="V7" s="9"/>
    </row>
    <row r="8" spans="7:22" ht="12.75">
      <c r="G8" s="17"/>
      <c r="I8" s="9"/>
      <c r="J8" s="9"/>
      <c r="K8" s="9"/>
      <c r="L8" s="9"/>
      <c r="M8" s="9"/>
      <c r="N8" s="9"/>
      <c r="S8" s="54"/>
      <c r="T8" s="9"/>
      <c r="U8" s="9"/>
      <c r="V8" s="9"/>
    </row>
    <row r="9" spans="1:22" ht="12.75">
      <c r="A9" s="4" t="s">
        <v>11</v>
      </c>
      <c r="D9" s="18">
        <f>D3*SUM(D6:D7)</f>
        <v>148059.21</v>
      </c>
      <c r="E9" s="18">
        <f>D3*SUM(E6:E7)</f>
        <v>15316.47</v>
      </c>
      <c r="F9" s="18"/>
      <c r="I9" s="9" t="str">
        <f>A11</f>
        <v>Number of resulting retests</v>
      </c>
      <c r="J9" s="9">
        <f>D11</f>
        <v>2552.745</v>
      </c>
      <c r="K9" s="9">
        <f>E11</f>
        <v>27484.554500000002</v>
      </c>
      <c r="L9" s="9"/>
      <c r="M9" s="9"/>
      <c r="N9" s="9"/>
      <c r="S9" s="53"/>
      <c r="T9" s="9"/>
      <c r="U9" s="9"/>
      <c r="V9" s="9"/>
    </row>
    <row r="10" spans="1:6" ht="12.75">
      <c r="A10" s="4" t="s">
        <v>12</v>
      </c>
      <c r="D10" s="18">
        <f>D3*D4</f>
        <v>1320620.08</v>
      </c>
      <c r="E10" s="18">
        <f>D3*E4</f>
        <v>1320620.08</v>
      </c>
      <c r="F10" s="18"/>
    </row>
    <row r="11" spans="1:6" ht="12.75">
      <c r="A11" s="4" t="s">
        <v>13</v>
      </c>
      <c r="D11" s="19">
        <f>D3*D5</f>
        <v>2552.745</v>
      </c>
      <c r="E11" s="19">
        <f>D3*E5</f>
        <v>27484.554500000002</v>
      </c>
      <c r="F11" s="19"/>
    </row>
    <row r="12" spans="1:6" ht="12.75">
      <c r="A12" s="4" t="s">
        <v>14</v>
      </c>
      <c r="D12" s="18">
        <f>(D11*D6)+(D7*D11)</f>
        <v>2220.8881499999998</v>
      </c>
      <c r="E12" s="18">
        <f>(E11*E6)+(E7*E11)</f>
        <v>2473.6099050000003</v>
      </c>
      <c r="F12" s="18"/>
    </row>
    <row r="13" spans="1:6" ht="12.75">
      <c r="A13" s="4" t="s">
        <v>15</v>
      </c>
      <c r="D13" s="18">
        <f>D4*D11</f>
        <v>19809.301199999998</v>
      </c>
      <c r="E13" s="18">
        <f>E4*E11</f>
        <v>213280.14292</v>
      </c>
      <c r="F13" s="18"/>
    </row>
    <row r="14" ht="12.75"/>
    <row r="15" spans="1:6" ht="12.75">
      <c r="A15" s="4" t="s">
        <v>16</v>
      </c>
      <c r="D15" s="18">
        <f>D9+D10+D12+D13</f>
        <v>1490709.4793500002</v>
      </c>
      <c r="E15" s="18">
        <f>E9+E10+E12+E13</f>
        <v>1551690.3028250001</v>
      </c>
      <c r="F15" s="18"/>
    </row>
    <row r="16" spans="1:6" ht="12.75">
      <c r="A16" s="20" t="s">
        <v>17</v>
      </c>
      <c r="B16" s="20"/>
      <c r="C16" s="20"/>
      <c r="D16" s="44">
        <f>E15-D15</f>
        <v>60980.82347499998</v>
      </c>
      <c r="E16" s="21"/>
      <c r="F16" s="21"/>
    </row>
    <row r="17" spans="1:6" ht="12.75">
      <c r="A17" s="22" t="s">
        <v>18</v>
      </c>
      <c r="B17" s="22"/>
      <c r="C17" s="22"/>
      <c r="D17" s="23">
        <f>D16/E15</f>
        <v>0.03929960982805562</v>
      </c>
      <c r="E17" s="21"/>
      <c r="F17" s="21"/>
    </row>
    <row r="18" spans="1:6" ht="12.75">
      <c r="A18" s="20" t="s">
        <v>29</v>
      </c>
      <c r="B18" s="20"/>
      <c r="C18" s="20"/>
      <c r="D18" s="45">
        <f>D16/D3</f>
        <v>0.3583249999999999</v>
      </c>
      <c r="E18" s="21"/>
      <c r="F18" s="21"/>
    </row>
    <row r="19" ht="12.75"/>
    <row r="20" spans="1:4" ht="15.75">
      <c r="A20" s="5" t="s">
        <v>19</v>
      </c>
      <c r="D20" s="32"/>
    </row>
    <row r="21" ht="15.75">
      <c r="A21" s="34" t="s">
        <v>20</v>
      </c>
    </row>
    <row r="22" spans="1:6" ht="12.75">
      <c r="A22" s="4" t="s">
        <v>87</v>
      </c>
      <c r="C22" s="43">
        <f>Administration!B20</f>
        <v>103</v>
      </c>
      <c r="D22" s="24">
        <f>$C22*D11</f>
        <v>262932.735</v>
      </c>
      <c r="E22" s="24">
        <f>$C22*E11</f>
        <v>2830909.1135</v>
      </c>
      <c r="F22" s="24"/>
    </row>
    <row r="23" spans="1:6" ht="12.75">
      <c r="A23" s="4" t="s">
        <v>88</v>
      </c>
      <c r="C23" s="43">
        <f>Administration!B18</f>
        <v>13.33333333333333</v>
      </c>
      <c r="D23" s="24">
        <f>$C23*D11</f>
        <v>34036.59999999999</v>
      </c>
      <c r="E23" s="24">
        <f>$C23*E11</f>
        <v>366460.7266666666</v>
      </c>
      <c r="F23" s="24"/>
    </row>
    <row r="24" spans="1:6" ht="12.75">
      <c r="A24" s="4" t="s">
        <v>140</v>
      </c>
      <c r="C24" s="43"/>
      <c r="D24" s="24">
        <f>SUM(D22:D23)</f>
        <v>296969.33499999996</v>
      </c>
      <c r="E24" s="24">
        <f>SUM(E22:E23)</f>
        <v>3197369.8401666665</v>
      </c>
      <c r="F24" s="24"/>
    </row>
    <row r="25" spans="1:6" ht="12.75">
      <c r="A25" s="22" t="s">
        <v>141</v>
      </c>
      <c r="C25" s="43"/>
      <c r="D25" s="55">
        <f>E24-D24</f>
        <v>2900400.5051666666</v>
      </c>
      <c r="E25" s="24"/>
      <c r="F25" s="24"/>
    </row>
    <row r="26" spans="2:6" ht="12.75">
      <c r="B26" s="24"/>
      <c r="D26" s="24"/>
      <c r="E26" s="24"/>
      <c r="F26" s="24"/>
    </row>
    <row r="27" spans="1:2" ht="27" customHeight="1">
      <c r="A27" s="34" t="s">
        <v>23</v>
      </c>
      <c r="B27" s="26"/>
    </row>
    <row r="28" spans="1:5" ht="12.75">
      <c r="A28" s="4" t="s">
        <v>27</v>
      </c>
      <c r="C28" s="36">
        <f>'Patients costs'!B13</f>
        <v>80.41666666666667</v>
      </c>
      <c r="D28" s="25">
        <f>$C28*D$11</f>
        <v>205283.24375</v>
      </c>
      <c r="E28" s="25">
        <f>$C28*E$11</f>
        <v>2210216.2577083334</v>
      </c>
    </row>
    <row r="29" spans="1:12" ht="12.75">
      <c r="A29" s="4" t="s">
        <v>30</v>
      </c>
      <c r="C29" s="36">
        <f>'Patients costs'!B14</f>
        <v>10</v>
      </c>
      <c r="D29" s="25">
        <f>$C29*D$11</f>
        <v>25527.449999999997</v>
      </c>
      <c r="E29" s="25">
        <f>$C29*E$11</f>
        <v>274845.54500000004</v>
      </c>
      <c r="F29" s="25"/>
      <c r="K29" s="4" t="str">
        <f>D1</f>
        <v>Peezy Midstream</v>
      </c>
      <c r="L29" s="4" t="str">
        <f>E1</f>
        <v>Universal Container + Collection  product</v>
      </c>
    </row>
    <row r="30" spans="1:12" ht="12.75">
      <c r="A30" s="4" t="s">
        <v>28</v>
      </c>
      <c r="C30" s="27"/>
      <c r="D30" s="25">
        <f>SUM(D28:D29)</f>
        <v>230810.69374999998</v>
      </c>
      <c r="E30" s="25">
        <f>SUM(E28:E29)</f>
        <v>2485061.8027083334</v>
      </c>
      <c r="F30" s="25"/>
      <c r="J30" s="4" t="s">
        <v>22</v>
      </c>
      <c r="K30" s="24">
        <f>D22</f>
        <v>262932.735</v>
      </c>
      <c r="L30" s="24">
        <f>E22</f>
        <v>2830909.1135</v>
      </c>
    </row>
    <row r="31" spans="1:12" ht="12.75">
      <c r="A31" s="4" t="s">
        <v>24</v>
      </c>
      <c r="B31" s="26"/>
      <c r="D31" s="28">
        <f>E30-D30</f>
        <v>2254251.1089583333</v>
      </c>
      <c r="F31" s="25"/>
      <c r="J31" s="4" t="str">
        <f>A23</f>
        <v>Office administration cost</v>
      </c>
      <c r="K31" s="25">
        <f>D23</f>
        <v>34036.59999999999</v>
      </c>
      <c r="L31" s="25">
        <f>E23</f>
        <v>366460.7266666666</v>
      </c>
    </row>
    <row r="32" spans="1:26" ht="12.75">
      <c r="A32" s="4" t="s">
        <v>25</v>
      </c>
      <c r="B32" s="26"/>
      <c r="D32" s="28">
        <f>D31/D3</f>
        <v>13.246041666666667</v>
      </c>
      <c r="J32" s="4" t="s">
        <v>139</v>
      </c>
      <c r="K32" s="24">
        <f>SUM(K30:K31)</f>
        <v>296969.33499999996</v>
      </c>
      <c r="L32" s="24">
        <f>SUM(L30:L31)</f>
        <v>3197369.8401666665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2:26" ht="12.75">
      <c r="B33" s="26"/>
      <c r="D33" s="25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ht="15.75">
      <c r="A34" s="34" t="s">
        <v>58</v>
      </c>
      <c r="B34" s="26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5" ht="12.75">
      <c r="A35" s="4" t="s">
        <v>26</v>
      </c>
      <c r="B35" s="26"/>
      <c r="D35" s="4">
        <f>IF(D11/MIN($D$11:$E$11)=1,"","+ "&amp;TEXT(D11/MIN($D$11:$E$11),"0%"))</f>
      </c>
      <c r="E35" s="29" t="str">
        <f>IF(E11/MIN($D$11:$E$11)=1,"","+ "&amp;TEXT(E11/MIN($D$11:$E$11),"0%"))</f>
        <v>+ 1077%</v>
      </c>
    </row>
    <row r="36" spans="1:5" ht="12.75">
      <c r="A36" s="4" t="s">
        <v>31</v>
      </c>
      <c r="B36" s="26"/>
      <c r="D36" s="4">
        <f>IF(D11/MIN($D$11:$E$11)=1,"",D11/MIN($D$11:$E$11))</f>
      </c>
      <c r="E36" s="29" t="str">
        <f>IF(E11/MIN($D$11:$E$11)=1,"","+ "&amp;TEXT(E11/MIN($D$11:$E$11),"0%"))</f>
        <v>+ 1077%</v>
      </c>
    </row>
    <row r="37" ht="12.75">
      <c r="B37" s="26"/>
    </row>
    <row r="38" ht="15.75">
      <c r="A38" s="34" t="s">
        <v>65</v>
      </c>
    </row>
    <row r="39" ht="15.75">
      <c r="A39" s="34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spans="1:6" s="92" customFormat="1" ht="38.25" customHeight="1">
      <c r="A152" s="88"/>
      <c r="B152" s="89" t="s">
        <v>1</v>
      </c>
      <c r="C152" s="89" t="str">
        <f>'Trust savings calculator'!E1</f>
        <v>Universal Container + Collection  product</v>
      </c>
      <c r="D152" s="90"/>
      <c r="E152" s="90"/>
      <c r="F152" s="91"/>
    </row>
    <row r="153" spans="1:5" s="92" customFormat="1" ht="15">
      <c r="A153" s="93"/>
      <c r="B153" s="90"/>
      <c r="C153" s="90"/>
      <c r="D153" s="90"/>
      <c r="E153" s="90"/>
    </row>
    <row r="154" spans="1:55" s="94" customFormat="1" ht="12">
      <c r="A154" s="94" t="s">
        <v>3</v>
      </c>
      <c r="B154" s="95">
        <f>'Trust savings calculator'!D3</f>
        <v>170183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</row>
    <row r="155" spans="1:55" s="94" customFormat="1" ht="12.75" customHeight="1">
      <c r="A155" s="94" t="s">
        <v>4</v>
      </c>
      <c r="B155" s="96">
        <f>'Trust savings calculator'!D4</f>
        <v>7.76</v>
      </c>
      <c r="C155" s="96">
        <f>'Trust savings calculator'!E4</f>
        <v>7.76</v>
      </c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</row>
    <row r="156" spans="1:55" s="94" customFormat="1" ht="12">
      <c r="A156" s="94" t="s">
        <v>6</v>
      </c>
      <c r="B156" s="97">
        <f>'Trust savings calculator'!D5</f>
        <v>0.015</v>
      </c>
      <c r="C156" s="97">
        <f>'Trust savings calculator'!E5</f>
        <v>0.1615</v>
      </c>
      <c r="D156" s="97">
        <v>0</v>
      </c>
      <c r="E156" s="97">
        <v>0.01</v>
      </c>
      <c r="F156" s="97">
        <f aca="true" t="shared" si="0" ref="F156:AK156">E156+1%</f>
        <v>0.02</v>
      </c>
      <c r="G156" s="97">
        <f t="shared" si="0"/>
        <v>0.03</v>
      </c>
      <c r="H156" s="97">
        <f t="shared" si="0"/>
        <v>0.04</v>
      </c>
      <c r="I156" s="97">
        <f t="shared" si="0"/>
        <v>0.05</v>
      </c>
      <c r="J156" s="97">
        <f t="shared" si="0"/>
        <v>0.060000000000000005</v>
      </c>
      <c r="K156" s="97">
        <f t="shared" si="0"/>
        <v>0.07</v>
      </c>
      <c r="L156" s="97">
        <f t="shared" si="0"/>
        <v>0.08</v>
      </c>
      <c r="M156" s="97">
        <f t="shared" si="0"/>
        <v>0.09</v>
      </c>
      <c r="N156" s="97">
        <f t="shared" si="0"/>
        <v>0.09999999999999999</v>
      </c>
      <c r="O156" s="97">
        <f t="shared" si="0"/>
        <v>0.10999999999999999</v>
      </c>
      <c r="P156" s="97">
        <f t="shared" si="0"/>
        <v>0.11999999999999998</v>
      </c>
      <c r="Q156" s="97">
        <f t="shared" si="0"/>
        <v>0.12999999999999998</v>
      </c>
      <c r="R156" s="97">
        <f t="shared" si="0"/>
        <v>0.13999999999999999</v>
      </c>
      <c r="S156" s="97">
        <f t="shared" si="0"/>
        <v>0.15</v>
      </c>
      <c r="T156" s="97">
        <f t="shared" si="0"/>
        <v>0.16</v>
      </c>
      <c r="U156" s="97">
        <f t="shared" si="0"/>
        <v>0.17</v>
      </c>
      <c r="V156" s="97">
        <f t="shared" si="0"/>
        <v>0.18000000000000002</v>
      </c>
      <c r="W156" s="97">
        <f t="shared" si="0"/>
        <v>0.19000000000000003</v>
      </c>
      <c r="X156" s="97">
        <f t="shared" si="0"/>
        <v>0.20000000000000004</v>
      </c>
      <c r="Y156" s="97">
        <f t="shared" si="0"/>
        <v>0.21000000000000005</v>
      </c>
      <c r="Z156" s="97">
        <f t="shared" si="0"/>
        <v>0.22000000000000006</v>
      </c>
      <c r="AA156" s="97">
        <f t="shared" si="0"/>
        <v>0.23000000000000007</v>
      </c>
      <c r="AB156" s="97">
        <f t="shared" si="0"/>
        <v>0.24000000000000007</v>
      </c>
      <c r="AC156" s="97">
        <f t="shared" si="0"/>
        <v>0.25000000000000006</v>
      </c>
      <c r="AD156" s="97">
        <f t="shared" si="0"/>
        <v>0.26000000000000006</v>
      </c>
      <c r="AE156" s="97">
        <f t="shared" si="0"/>
        <v>0.2700000000000001</v>
      </c>
      <c r="AF156" s="97">
        <f t="shared" si="0"/>
        <v>0.2800000000000001</v>
      </c>
      <c r="AG156" s="97">
        <f t="shared" si="0"/>
        <v>0.2900000000000001</v>
      </c>
      <c r="AH156" s="97">
        <f t="shared" si="0"/>
        <v>0.3000000000000001</v>
      </c>
      <c r="AI156" s="97">
        <f t="shared" si="0"/>
        <v>0.3100000000000001</v>
      </c>
      <c r="AJ156" s="97">
        <f t="shared" si="0"/>
        <v>0.3200000000000001</v>
      </c>
      <c r="AK156" s="97">
        <f t="shared" si="0"/>
        <v>0.3300000000000001</v>
      </c>
      <c r="AL156" s="97">
        <f aca="true" t="shared" si="1" ref="AL156:BC156">AK156+1%</f>
        <v>0.34000000000000014</v>
      </c>
      <c r="AM156" s="97">
        <f t="shared" si="1"/>
        <v>0.35000000000000014</v>
      </c>
      <c r="AN156" s="97">
        <f t="shared" si="1"/>
        <v>0.36000000000000015</v>
      </c>
      <c r="AO156" s="97">
        <f t="shared" si="1"/>
        <v>0.37000000000000016</v>
      </c>
      <c r="AP156" s="97">
        <f t="shared" si="1"/>
        <v>0.38000000000000017</v>
      </c>
      <c r="AQ156" s="97">
        <f t="shared" si="1"/>
        <v>0.3900000000000002</v>
      </c>
      <c r="AR156" s="97">
        <f t="shared" si="1"/>
        <v>0.4000000000000002</v>
      </c>
      <c r="AS156" s="97">
        <f t="shared" si="1"/>
        <v>0.4100000000000002</v>
      </c>
      <c r="AT156" s="97">
        <f t="shared" si="1"/>
        <v>0.4200000000000002</v>
      </c>
      <c r="AU156" s="97">
        <f t="shared" si="1"/>
        <v>0.4300000000000002</v>
      </c>
      <c r="AV156" s="97">
        <f t="shared" si="1"/>
        <v>0.4400000000000002</v>
      </c>
      <c r="AW156" s="97">
        <f t="shared" si="1"/>
        <v>0.45000000000000023</v>
      </c>
      <c r="AX156" s="97">
        <f t="shared" si="1"/>
        <v>0.46000000000000024</v>
      </c>
      <c r="AY156" s="97">
        <f t="shared" si="1"/>
        <v>0.47000000000000025</v>
      </c>
      <c r="AZ156" s="97">
        <f t="shared" si="1"/>
        <v>0.48000000000000026</v>
      </c>
      <c r="BA156" s="97">
        <f t="shared" si="1"/>
        <v>0.49000000000000027</v>
      </c>
      <c r="BB156" s="97">
        <f t="shared" si="1"/>
        <v>0.5000000000000002</v>
      </c>
      <c r="BC156" s="97">
        <f t="shared" si="1"/>
        <v>0.5100000000000002</v>
      </c>
    </row>
    <row r="157" spans="1:55" s="94" customFormat="1" ht="12">
      <c r="A157" s="94" t="s">
        <v>8</v>
      </c>
      <c r="B157" s="96">
        <f>'Trust savings calculator'!D6</f>
        <v>0.87</v>
      </c>
      <c r="C157" s="96">
        <f>'Trust savings calculator'!E6</f>
        <v>0.09</v>
      </c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</row>
    <row r="158" spans="1:55" s="94" customFormat="1" ht="12">
      <c r="A158" s="94" t="s">
        <v>10</v>
      </c>
      <c r="B158" s="96">
        <f>'Trust savings calculator'!D7</f>
        <v>0</v>
      </c>
      <c r="C158" s="96">
        <f>'Trust savings calculator'!E7</f>
        <v>0</v>
      </c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</row>
    <row r="159" spans="6:7" s="94" customFormat="1" ht="12">
      <c r="F159" s="98"/>
      <c r="G159" s="99"/>
    </row>
    <row r="160" spans="1:55" s="94" customFormat="1" ht="12">
      <c r="A160" s="94" t="s">
        <v>11</v>
      </c>
      <c r="B160" s="100">
        <f>B154*SUM(B157:B158)</f>
        <v>148059.21</v>
      </c>
      <c r="C160" s="100">
        <f>$B$154*SUM($C$157:$C$158)</f>
        <v>15316.47</v>
      </c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</row>
    <row r="161" spans="1:55" s="94" customFormat="1" ht="12">
      <c r="A161" s="94" t="s">
        <v>12</v>
      </c>
      <c r="B161" s="100">
        <f>B154*B155</f>
        <v>1320620.08</v>
      </c>
      <c r="C161" s="100">
        <f>$B$154*$B$155</f>
        <v>1320620.08</v>
      </c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</row>
    <row r="162" spans="1:55" s="94" customFormat="1" ht="12">
      <c r="A162" s="94" t="s">
        <v>13</v>
      </c>
      <c r="B162" s="7">
        <f>B154*B156</f>
        <v>2552.745</v>
      </c>
      <c r="C162" s="7">
        <f aca="true" t="shared" si="2" ref="C162:AH162">$B$154*C156</f>
        <v>27484.554500000002</v>
      </c>
      <c r="D162" s="7">
        <f t="shared" si="2"/>
        <v>0</v>
      </c>
      <c r="E162" s="7">
        <f t="shared" si="2"/>
        <v>1701.83</v>
      </c>
      <c r="F162" s="7">
        <f t="shared" si="2"/>
        <v>3403.66</v>
      </c>
      <c r="G162" s="7">
        <f t="shared" si="2"/>
        <v>5105.49</v>
      </c>
      <c r="H162" s="7">
        <f t="shared" si="2"/>
        <v>6807.32</v>
      </c>
      <c r="I162" s="7">
        <f t="shared" si="2"/>
        <v>8509.15</v>
      </c>
      <c r="J162" s="7">
        <f t="shared" si="2"/>
        <v>10210.980000000001</v>
      </c>
      <c r="K162" s="7">
        <f t="shared" si="2"/>
        <v>11912.810000000001</v>
      </c>
      <c r="L162" s="7">
        <f t="shared" si="2"/>
        <v>13614.64</v>
      </c>
      <c r="M162" s="7">
        <f t="shared" si="2"/>
        <v>15316.47</v>
      </c>
      <c r="N162" s="7">
        <f t="shared" si="2"/>
        <v>17018.3</v>
      </c>
      <c r="O162" s="7">
        <f t="shared" si="2"/>
        <v>18720.129999999997</v>
      </c>
      <c r="P162" s="7">
        <f t="shared" si="2"/>
        <v>20421.959999999995</v>
      </c>
      <c r="Q162" s="7">
        <f t="shared" si="2"/>
        <v>22123.789999999997</v>
      </c>
      <c r="R162" s="7">
        <f t="shared" si="2"/>
        <v>23825.62</v>
      </c>
      <c r="S162" s="7">
        <f t="shared" si="2"/>
        <v>25527.45</v>
      </c>
      <c r="T162" s="7">
        <f t="shared" si="2"/>
        <v>27229.28</v>
      </c>
      <c r="U162" s="7">
        <f t="shared" si="2"/>
        <v>28931.11</v>
      </c>
      <c r="V162" s="7">
        <f t="shared" si="2"/>
        <v>30632.940000000002</v>
      </c>
      <c r="W162" s="7">
        <f t="shared" si="2"/>
        <v>32334.770000000004</v>
      </c>
      <c r="X162" s="7">
        <f t="shared" si="2"/>
        <v>34036.600000000006</v>
      </c>
      <c r="Y162" s="7">
        <f t="shared" si="2"/>
        <v>35738.43000000001</v>
      </c>
      <c r="Z162" s="7">
        <f t="shared" si="2"/>
        <v>37440.26000000001</v>
      </c>
      <c r="AA162" s="7">
        <f t="shared" si="2"/>
        <v>39142.09000000001</v>
      </c>
      <c r="AB162" s="7">
        <f t="shared" si="2"/>
        <v>40843.92000000001</v>
      </c>
      <c r="AC162" s="7">
        <f t="shared" si="2"/>
        <v>42545.75000000001</v>
      </c>
      <c r="AD162" s="7">
        <f t="shared" si="2"/>
        <v>44247.58000000001</v>
      </c>
      <c r="AE162" s="7">
        <f t="shared" si="2"/>
        <v>45949.41000000001</v>
      </c>
      <c r="AF162" s="7">
        <f t="shared" si="2"/>
        <v>47651.24000000001</v>
      </c>
      <c r="AG162" s="7">
        <f t="shared" si="2"/>
        <v>49353.070000000014</v>
      </c>
      <c r="AH162" s="7">
        <f t="shared" si="2"/>
        <v>51054.900000000016</v>
      </c>
      <c r="AI162" s="7">
        <f aca="true" t="shared" si="3" ref="AI162:BC162">$B$154*AI156</f>
        <v>52756.73000000002</v>
      </c>
      <c r="AJ162" s="7">
        <f t="shared" si="3"/>
        <v>54458.56000000002</v>
      </c>
      <c r="AK162" s="7">
        <f t="shared" si="3"/>
        <v>56160.39000000002</v>
      </c>
      <c r="AL162" s="7">
        <f t="shared" si="3"/>
        <v>57862.22000000002</v>
      </c>
      <c r="AM162" s="7">
        <f t="shared" si="3"/>
        <v>59564.050000000025</v>
      </c>
      <c r="AN162" s="7">
        <f t="shared" si="3"/>
        <v>61265.88000000003</v>
      </c>
      <c r="AO162" s="7">
        <f t="shared" si="3"/>
        <v>62967.71000000003</v>
      </c>
      <c r="AP162" s="7">
        <f t="shared" si="3"/>
        <v>64669.54000000003</v>
      </c>
      <c r="AQ162" s="7">
        <f t="shared" si="3"/>
        <v>66371.37000000002</v>
      </c>
      <c r="AR162" s="7">
        <f t="shared" si="3"/>
        <v>68073.20000000003</v>
      </c>
      <c r="AS162" s="7">
        <f t="shared" si="3"/>
        <v>69775.03000000003</v>
      </c>
      <c r="AT162" s="7">
        <f t="shared" si="3"/>
        <v>71476.86000000003</v>
      </c>
      <c r="AU162" s="7">
        <f t="shared" si="3"/>
        <v>73178.69000000003</v>
      </c>
      <c r="AV162" s="7">
        <f t="shared" si="3"/>
        <v>74880.52000000003</v>
      </c>
      <c r="AW162" s="7">
        <f t="shared" si="3"/>
        <v>76582.35000000003</v>
      </c>
      <c r="AX162" s="7">
        <f t="shared" si="3"/>
        <v>78284.18000000004</v>
      </c>
      <c r="AY162" s="7">
        <f t="shared" si="3"/>
        <v>79986.01000000004</v>
      </c>
      <c r="AZ162" s="7">
        <f t="shared" si="3"/>
        <v>81687.84000000004</v>
      </c>
      <c r="BA162" s="7">
        <f t="shared" si="3"/>
        <v>83389.67000000004</v>
      </c>
      <c r="BB162" s="7">
        <f t="shared" si="3"/>
        <v>85091.50000000004</v>
      </c>
      <c r="BC162" s="7">
        <f t="shared" si="3"/>
        <v>86793.33000000005</v>
      </c>
    </row>
    <row r="163" spans="1:55" s="94" customFormat="1" ht="12">
      <c r="A163" s="94" t="s">
        <v>14</v>
      </c>
      <c r="B163" s="100">
        <f>(B162*B157)+(B158*B162)</f>
        <v>2220.8881499999998</v>
      </c>
      <c r="C163" s="100">
        <f aca="true" t="shared" si="4" ref="C163:AH163">(C162*$C$157)+($C$158*C162)</f>
        <v>2473.6099050000003</v>
      </c>
      <c r="D163" s="100">
        <f t="shared" si="4"/>
        <v>0</v>
      </c>
      <c r="E163" s="100">
        <f t="shared" si="4"/>
        <v>153.16469999999998</v>
      </c>
      <c r="F163" s="100">
        <f t="shared" si="4"/>
        <v>306.32939999999996</v>
      </c>
      <c r="G163" s="100">
        <f t="shared" si="4"/>
        <v>459.49409999999995</v>
      </c>
      <c r="H163" s="100">
        <f t="shared" si="4"/>
        <v>612.6587999999999</v>
      </c>
      <c r="I163" s="100">
        <f t="shared" si="4"/>
        <v>765.8235</v>
      </c>
      <c r="J163" s="100">
        <f t="shared" si="4"/>
        <v>918.9882000000001</v>
      </c>
      <c r="K163" s="100">
        <f t="shared" si="4"/>
        <v>1072.1529</v>
      </c>
      <c r="L163" s="100">
        <f t="shared" si="4"/>
        <v>1225.3175999999999</v>
      </c>
      <c r="M163" s="100">
        <f t="shared" si="4"/>
        <v>1378.4823</v>
      </c>
      <c r="N163" s="100">
        <f t="shared" si="4"/>
        <v>1531.647</v>
      </c>
      <c r="O163" s="100">
        <f t="shared" si="4"/>
        <v>1684.8116999999997</v>
      </c>
      <c r="P163" s="100">
        <f t="shared" si="4"/>
        <v>1837.9763999999996</v>
      </c>
      <c r="Q163" s="100">
        <f t="shared" si="4"/>
        <v>1991.1410999999996</v>
      </c>
      <c r="R163" s="100">
        <f t="shared" si="4"/>
        <v>2144.3057999999996</v>
      </c>
      <c r="S163" s="100">
        <f t="shared" si="4"/>
        <v>2297.4705</v>
      </c>
      <c r="T163" s="100">
        <f t="shared" si="4"/>
        <v>2450.6351999999997</v>
      </c>
      <c r="U163" s="100">
        <f t="shared" si="4"/>
        <v>2603.7999</v>
      </c>
      <c r="V163" s="100">
        <f t="shared" si="4"/>
        <v>2756.9646000000002</v>
      </c>
      <c r="W163" s="100">
        <f t="shared" si="4"/>
        <v>2910.1293</v>
      </c>
      <c r="X163" s="100">
        <f t="shared" si="4"/>
        <v>3063.2940000000003</v>
      </c>
      <c r="Y163" s="100">
        <f t="shared" si="4"/>
        <v>3216.4587000000006</v>
      </c>
      <c r="Z163" s="100">
        <f t="shared" si="4"/>
        <v>3369.623400000001</v>
      </c>
      <c r="AA163" s="100">
        <f t="shared" si="4"/>
        <v>3522.7881000000007</v>
      </c>
      <c r="AB163" s="100">
        <f t="shared" si="4"/>
        <v>3675.952800000001</v>
      </c>
      <c r="AC163" s="100">
        <f t="shared" si="4"/>
        <v>3829.1175000000003</v>
      </c>
      <c r="AD163" s="100">
        <f t="shared" si="4"/>
        <v>3982.2822000000006</v>
      </c>
      <c r="AE163" s="100">
        <f t="shared" si="4"/>
        <v>4135.446900000001</v>
      </c>
      <c r="AF163" s="100">
        <f t="shared" si="4"/>
        <v>4288.611600000001</v>
      </c>
      <c r="AG163" s="100">
        <f t="shared" si="4"/>
        <v>4441.776300000001</v>
      </c>
      <c r="AH163" s="100">
        <f t="shared" si="4"/>
        <v>4594.941000000002</v>
      </c>
      <c r="AI163" s="100">
        <f aca="true" t="shared" si="5" ref="AI163:BC163">(AI162*$C$157)+($C$158*AI162)</f>
        <v>4748.105700000001</v>
      </c>
      <c r="AJ163" s="100">
        <f t="shared" si="5"/>
        <v>4901.270400000001</v>
      </c>
      <c r="AK163" s="100">
        <f t="shared" si="5"/>
        <v>5054.4351000000015</v>
      </c>
      <c r="AL163" s="100">
        <f t="shared" si="5"/>
        <v>5207.599800000002</v>
      </c>
      <c r="AM163" s="100">
        <f t="shared" si="5"/>
        <v>5360.764500000002</v>
      </c>
      <c r="AN163" s="100">
        <f t="shared" si="5"/>
        <v>5513.929200000002</v>
      </c>
      <c r="AO163" s="100">
        <f t="shared" si="5"/>
        <v>5667.093900000003</v>
      </c>
      <c r="AP163" s="100">
        <f t="shared" si="5"/>
        <v>5820.258600000003</v>
      </c>
      <c r="AQ163" s="100">
        <f t="shared" si="5"/>
        <v>5973.423300000002</v>
      </c>
      <c r="AR163" s="100">
        <f t="shared" si="5"/>
        <v>6126.5880000000025</v>
      </c>
      <c r="AS163" s="100">
        <f t="shared" si="5"/>
        <v>6279.752700000003</v>
      </c>
      <c r="AT163" s="100">
        <f t="shared" si="5"/>
        <v>6432.917400000002</v>
      </c>
      <c r="AU163" s="100">
        <f t="shared" si="5"/>
        <v>6586.082100000002</v>
      </c>
      <c r="AV163" s="100">
        <f t="shared" si="5"/>
        <v>6739.246800000003</v>
      </c>
      <c r="AW163" s="100">
        <f t="shared" si="5"/>
        <v>6892.411500000003</v>
      </c>
      <c r="AX163" s="100">
        <f t="shared" si="5"/>
        <v>7045.576200000003</v>
      </c>
      <c r="AY163" s="100">
        <f t="shared" si="5"/>
        <v>7198.740900000003</v>
      </c>
      <c r="AZ163" s="100">
        <f t="shared" si="5"/>
        <v>7351.905600000004</v>
      </c>
      <c r="BA163" s="100">
        <f t="shared" si="5"/>
        <v>7505.070300000003</v>
      </c>
      <c r="BB163" s="100">
        <f t="shared" si="5"/>
        <v>7658.235000000003</v>
      </c>
      <c r="BC163" s="100">
        <f t="shared" si="5"/>
        <v>7811.399700000004</v>
      </c>
    </row>
    <row r="164" spans="1:55" s="94" customFormat="1" ht="12">
      <c r="A164" s="94" t="s">
        <v>15</v>
      </c>
      <c r="B164" s="100">
        <f>B155*B162</f>
        <v>19809.301199999998</v>
      </c>
      <c r="C164" s="100">
        <f aca="true" t="shared" si="6" ref="C164:AH164">$B$155*C162</f>
        <v>213280.14292</v>
      </c>
      <c r="D164" s="100">
        <f t="shared" si="6"/>
        <v>0</v>
      </c>
      <c r="E164" s="100">
        <f t="shared" si="6"/>
        <v>13206.200799999999</v>
      </c>
      <c r="F164" s="100">
        <f t="shared" si="6"/>
        <v>26412.401599999997</v>
      </c>
      <c r="G164" s="100">
        <f t="shared" si="6"/>
        <v>39618.602399999996</v>
      </c>
      <c r="H164" s="100">
        <f t="shared" si="6"/>
        <v>52824.803199999995</v>
      </c>
      <c r="I164" s="100">
        <f t="shared" si="6"/>
        <v>66031.004</v>
      </c>
      <c r="J164" s="100">
        <f t="shared" si="6"/>
        <v>79237.2048</v>
      </c>
      <c r="K164" s="100">
        <f t="shared" si="6"/>
        <v>92443.40560000001</v>
      </c>
      <c r="L164" s="100">
        <f t="shared" si="6"/>
        <v>105649.60639999999</v>
      </c>
      <c r="M164" s="100">
        <f t="shared" si="6"/>
        <v>118855.8072</v>
      </c>
      <c r="N164" s="100">
        <f t="shared" si="6"/>
        <v>132062.008</v>
      </c>
      <c r="O164" s="100">
        <f t="shared" si="6"/>
        <v>145268.20879999996</v>
      </c>
      <c r="P164" s="100">
        <f t="shared" si="6"/>
        <v>158474.40959999996</v>
      </c>
      <c r="Q164" s="100">
        <f t="shared" si="6"/>
        <v>171680.61039999998</v>
      </c>
      <c r="R164" s="100">
        <f t="shared" si="6"/>
        <v>184886.8112</v>
      </c>
      <c r="S164" s="100">
        <f t="shared" si="6"/>
        <v>198093.012</v>
      </c>
      <c r="T164" s="100">
        <f t="shared" si="6"/>
        <v>211299.21279999998</v>
      </c>
      <c r="U164" s="100">
        <f t="shared" si="6"/>
        <v>224505.4136</v>
      </c>
      <c r="V164" s="100">
        <f t="shared" si="6"/>
        <v>237711.61440000002</v>
      </c>
      <c r="W164" s="100">
        <f t="shared" si="6"/>
        <v>250917.8152</v>
      </c>
      <c r="X164" s="100">
        <f t="shared" si="6"/>
        <v>264124.01600000006</v>
      </c>
      <c r="Y164" s="100">
        <f t="shared" si="6"/>
        <v>277330.21680000005</v>
      </c>
      <c r="Z164" s="100">
        <f t="shared" si="6"/>
        <v>290536.41760000004</v>
      </c>
      <c r="AA164" s="100">
        <f t="shared" si="6"/>
        <v>303742.6184000001</v>
      </c>
      <c r="AB164" s="100">
        <f t="shared" si="6"/>
        <v>316948.8192000001</v>
      </c>
      <c r="AC164" s="100">
        <f t="shared" si="6"/>
        <v>330155.02</v>
      </c>
      <c r="AD164" s="100">
        <f t="shared" si="6"/>
        <v>343361.22080000007</v>
      </c>
      <c r="AE164" s="100">
        <f t="shared" si="6"/>
        <v>356567.42160000006</v>
      </c>
      <c r="AF164" s="100">
        <f t="shared" si="6"/>
        <v>369773.6224000001</v>
      </c>
      <c r="AG164" s="100">
        <f t="shared" si="6"/>
        <v>382979.8232000001</v>
      </c>
      <c r="AH164" s="100">
        <f t="shared" si="6"/>
        <v>396186.0240000001</v>
      </c>
      <c r="AI164" s="100">
        <f aca="true" t="shared" si="7" ref="AI164:BC164">$B$155*AI162</f>
        <v>409392.22480000014</v>
      </c>
      <c r="AJ164" s="100">
        <f t="shared" si="7"/>
        <v>422598.42560000013</v>
      </c>
      <c r="AK164" s="100">
        <f t="shared" si="7"/>
        <v>435804.6264000001</v>
      </c>
      <c r="AL164" s="100">
        <f t="shared" si="7"/>
        <v>449010.8272000002</v>
      </c>
      <c r="AM164" s="100">
        <f t="shared" si="7"/>
        <v>462217.02800000017</v>
      </c>
      <c r="AN164" s="100">
        <f t="shared" si="7"/>
        <v>475423.2288000002</v>
      </c>
      <c r="AO164" s="100">
        <f t="shared" si="7"/>
        <v>488629.4296000002</v>
      </c>
      <c r="AP164" s="100">
        <f t="shared" si="7"/>
        <v>501835.6304000002</v>
      </c>
      <c r="AQ164" s="100">
        <f t="shared" si="7"/>
        <v>515041.8312000002</v>
      </c>
      <c r="AR164" s="100">
        <f t="shared" si="7"/>
        <v>528248.0320000002</v>
      </c>
      <c r="AS164" s="100">
        <f t="shared" si="7"/>
        <v>541454.2328000002</v>
      </c>
      <c r="AT164" s="100">
        <f t="shared" si="7"/>
        <v>554660.4336000002</v>
      </c>
      <c r="AU164" s="100">
        <f t="shared" si="7"/>
        <v>567866.6344000002</v>
      </c>
      <c r="AV164" s="100">
        <f t="shared" si="7"/>
        <v>581072.8352000002</v>
      </c>
      <c r="AW164" s="100">
        <f t="shared" si="7"/>
        <v>594279.0360000002</v>
      </c>
      <c r="AX164" s="100">
        <f t="shared" si="7"/>
        <v>607485.2368000003</v>
      </c>
      <c r="AY164" s="100">
        <f t="shared" si="7"/>
        <v>620691.4376000003</v>
      </c>
      <c r="AZ164" s="100">
        <f t="shared" si="7"/>
        <v>633897.6384000003</v>
      </c>
      <c r="BA164" s="100">
        <f t="shared" si="7"/>
        <v>647103.8392000003</v>
      </c>
      <c r="BB164" s="100">
        <f t="shared" si="7"/>
        <v>660310.0400000003</v>
      </c>
      <c r="BC164" s="100">
        <f t="shared" si="7"/>
        <v>673516.2408000004</v>
      </c>
    </row>
    <row r="165" s="94" customFormat="1" ht="12"/>
    <row r="166" spans="1:55" s="94" customFormat="1" ht="12">
      <c r="A166" s="94" t="s">
        <v>16</v>
      </c>
      <c r="B166" s="100">
        <f>B160+B161+B163+B164</f>
        <v>1490709.4793500002</v>
      </c>
      <c r="C166" s="100">
        <f>$C$160+$C$161+C163+C164</f>
        <v>1551690.3028250001</v>
      </c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</row>
    <row r="167" spans="1:55" s="94" customFormat="1" ht="12">
      <c r="A167" s="20" t="s">
        <v>144</v>
      </c>
      <c r="C167" s="44">
        <f>C166-$B$166</f>
        <v>60980.82347499998</v>
      </c>
      <c r="D167" s="44">
        <f aca="true" t="shared" si="8" ref="D167:AI167">$C$160+$C$161+D163+D164-$B$166</f>
        <v>-154772.9293500001</v>
      </c>
      <c r="E167" s="44">
        <f t="shared" si="8"/>
        <v>-141413.56385000004</v>
      </c>
      <c r="F167" s="44">
        <f t="shared" si="8"/>
        <v>-128054.1983500002</v>
      </c>
      <c r="G167" s="44">
        <f t="shared" si="8"/>
        <v>-114694.83285000012</v>
      </c>
      <c r="H167" s="44">
        <f t="shared" si="8"/>
        <v>-101335.46735000005</v>
      </c>
      <c r="I167" s="44">
        <f t="shared" si="8"/>
        <v>-87976.10185000021</v>
      </c>
      <c r="J167" s="44">
        <f t="shared" si="8"/>
        <v>-74616.73635000014</v>
      </c>
      <c r="K167" s="44">
        <f t="shared" si="8"/>
        <v>-61257.370850000065</v>
      </c>
      <c r="L167" s="44">
        <f t="shared" si="8"/>
        <v>-47898.005350000225</v>
      </c>
      <c r="M167" s="44">
        <f t="shared" si="8"/>
        <v>-34538.63985000015</v>
      </c>
      <c r="N167" s="44">
        <f t="shared" si="8"/>
        <v>-21179.27435000008</v>
      </c>
      <c r="O167" s="44">
        <f t="shared" si="8"/>
        <v>-7819.90885000024</v>
      </c>
      <c r="P167" s="44">
        <f t="shared" si="8"/>
        <v>5539.456649999833</v>
      </c>
      <c r="Q167" s="44">
        <f t="shared" si="8"/>
        <v>18898.822149999673</v>
      </c>
      <c r="R167" s="44">
        <f t="shared" si="8"/>
        <v>32258.187649999745</v>
      </c>
      <c r="S167" s="44">
        <f t="shared" si="8"/>
        <v>45617.55315000005</v>
      </c>
      <c r="T167" s="44">
        <f t="shared" si="8"/>
        <v>58976.91864999989</v>
      </c>
      <c r="U167" s="44">
        <f t="shared" si="8"/>
        <v>72336.28414999996</v>
      </c>
      <c r="V167" s="44">
        <f t="shared" si="8"/>
        <v>85695.64965000004</v>
      </c>
      <c r="W167" s="44">
        <f t="shared" si="8"/>
        <v>99055.01514999988</v>
      </c>
      <c r="X167" s="44">
        <f t="shared" si="8"/>
        <v>112414.38064999995</v>
      </c>
      <c r="Y167" s="44">
        <f t="shared" si="8"/>
        <v>125773.74615000002</v>
      </c>
      <c r="Z167" s="44">
        <f t="shared" si="8"/>
        <v>139133.11164999986</v>
      </c>
      <c r="AA167" s="44">
        <f t="shared" si="8"/>
        <v>152492.47714999993</v>
      </c>
      <c r="AB167" s="44">
        <f t="shared" si="8"/>
        <v>165851.84265</v>
      </c>
      <c r="AC167" s="44">
        <f t="shared" si="8"/>
        <v>179211.20814999985</v>
      </c>
      <c r="AD167" s="44">
        <f t="shared" si="8"/>
        <v>192570.57364999992</v>
      </c>
      <c r="AE167" s="44">
        <f t="shared" si="8"/>
        <v>205929.93915</v>
      </c>
      <c r="AF167" s="44">
        <f t="shared" si="8"/>
        <v>219289.30464999983</v>
      </c>
      <c r="AG167" s="44">
        <f t="shared" si="8"/>
        <v>232648.67015000014</v>
      </c>
      <c r="AH167" s="44">
        <f t="shared" si="8"/>
        <v>246008.03564999998</v>
      </c>
      <c r="AI167" s="44">
        <f t="shared" si="8"/>
        <v>259367.40115000005</v>
      </c>
      <c r="AJ167" s="44">
        <f aca="true" t="shared" si="9" ref="AJ167:BC167">$C$160+$C$161+AJ163+AJ164-$B$166</f>
        <v>272726.7666500001</v>
      </c>
      <c r="AK167" s="44">
        <f t="shared" si="9"/>
        <v>286086.13214999996</v>
      </c>
      <c r="AL167" s="44">
        <f t="shared" si="9"/>
        <v>299445.49765000003</v>
      </c>
      <c r="AM167" s="44">
        <f t="shared" si="9"/>
        <v>312804.8631500001</v>
      </c>
      <c r="AN167" s="44">
        <f t="shared" si="9"/>
        <v>326164.22864999995</v>
      </c>
      <c r="AO167" s="44">
        <f t="shared" si="9"/>
        <v>339523.59415</v>
      </c>
      <c r="AP167" s="44">
        <f t="shared" si="9"/>
        <v>352882.9596500001</v>
      </c>
      <c r="AQ167" s="44">
        <f t="shared" si="9"/>
        <v>366242.32514999993</v>
      </c>
      <c r="AR167" s="44">
        <f t="shared" si="9"/>
        <v>379601.69065000024</v>
      </c>
      <c r="AS167" s="44">
        <f t="shared" si="9"/>
        <v>392961.0561500001</v>
      </c>
      <c r="AT167" s="44">
        <f t="shared" si="9"/>
        <v>406320.4216499999</v>
      </c>
      <c r="AU167" s="44">
        <f t="shared" si="9"/>
        <v>419679.7871500002</v>
      </c>
      <c r="AV167" s="44">
        <f t="shared" si="9"/>
        <v>433039.15265000006</v>
      </c>
      <c r="AW167" s="44">
        <f t="shared" si="9"/>
        <v>446398.5181499999</v>
      </c>
      <c r="AX167" s="44">
        <f t="shared" si="9"/>
        <v>459757.8836500002</v>
      </c>
      <c r="AY167" s="44">
        <f t="shared" si="9"/>
        <v>473117.2491500003</v>
      </c>
      <c r="AZ167" s="44">
        <f t="shared" si="9"/>
        <v>486476.6146500001</v>
      </c>
      <c r="BA167" s="44">
        <f t="shared" si="9"/>
        <v>499835.9801500002</v>
      </c>
      <c r="BB167" s="44">
        <f t="shared" si="9"/>
        <v>513195.34565000026</v>
      </c>
      <c r="BC167" s="44">
        <f t="shared" si="9"/>
        <v>526554.7111500003</v>
      </c>
    </row>
    <row r="168" spans="1:5" s="94" customFormat="1" ht="12">
      <c r="A168" s="20"/>
      <c r="B168" s="23"/>
      <c r="C168" s="20"/>
      <c r="D168" s="20"/>
      <c r="E168" s="20"/>
    </row>
    <row r="169" spans="4:55" s="94" customFormat="1" ht="12">
      <c r="D169" s="101">
        <f aca="true" t="shared" si="10" ref="D169:AI169">D156</f>
        <v>0</v>
      </c>
      <c r="E169" s="101">
        <f t="shared" si="10"/>
        <v>0.01</v>
      </c>
      <c r="F169" s="101">
        <f t="shared" si="10"/>
        <v>0.02</v>
      </c>
      <c r="G169" s="101">
        <f t="shared" si="10"/>
        <v>0.03</v>
      </c>
      <c r="H169" s="101">
        <f t="shared" si="10"/>
        <v>0.04</v>
      </c>
      <c r="I169" s="101">
        <f t="shared" si="10"/>
        <v>0.05</v>
      </c>
      <c r="J169" s="101">
        <f t="shared" si="10"/>
        <v>0.060000000000000005</v>
      </c>
      <c r="K169" s="101">
        <f t="shared" si="10"/>
        <v>0.07</v>
      </c>
      <c r="L169" s="101">
        <f t="shared" si="10"/>
        <v>0.08</v>
      </c>
      <c r="M169" s="101">
        <f t="shared" si="10"/>
        <v>0.09</v>
      </c>
      <c r="N169" s="101">
        <f t="shared" si="10"/>
        <v>0.09999999999999999</v>
      </c>
      <c r="O169" s="101">
        <f t="shared" si="10"/>
        <v>0.10999999999999999</v>
      </c>
      <c r="P169" s="101">
        <f t="shared" si="10"/>
        <v>0.11999999999999998</v>
      </c>
      <c r="Q169" s="101">
        <f t="shared" si="10"/>
        <v>0.12999999999999998</v>
      </c>
      <c r="R169" s="101">
        <f t="shared" si="10"/>
        <v>0.13999999999999999</v>
      </c>
      <c r="S169" s="101">
        <f t="shared" si="10"/>
        <v>0.15</v>
      </c>
      <c r="T169" s="101">
        <f t="shared" si="10"/>
        <v>0.16</v>
      </c>
      <c r="U169" s="101">
        <f t="shared" si="10"/>
        <v>0.17</v>
      </c>
      <c r="V169" s="101">
        <f t="shared" si="10"/>
        <v>0.18000000000000002</v>
      </c>
      <c r="W169" s="101">
        <f t="shared" si="10"/>
        <v>0.19000000000000003</v>
      </c>
      <c r="X169" s="101">
        <f t="shared" si="10"/>
        <v>0.20000000000000004</v>
      </c>
      <c r="Y169" s="101">
        <f t="shared" si="10"/>
        <v>0.21000000000000005</v>
      </c>
      <c r="Z169" s="101">
        <f t="shared" si="10"/>
        <v>0.22000000000000006</v>
      </c>
      <c r="AA169" s="101">
        <f t="shared" si="10"/>
        <v>0.23000000000000007</v>
      </c>
      <c r="AB169" s="101">
        <f t="shared" si="10"/>
        <v>0.24000000000000007</v>
      </c>
      <c r="AC169" s="101">
        <f t="shared" si="10"/>
        <v>0.25000000000000006</v>
      </c>
      <c r="AD169" s="101">
        <f t="shared" si="10"/>
        <v>0.26000000000000006</v>
      </c>
      <c r="AE169" s="101">
        <f t="shared" si="10"/>
        <v>0.2700000000000001</v>
      </c>
      <c r="AF169" s="101">
        <f t="shared" si="10"/>
        <v>0.2800000000000001</v>
      </c>
      <c r="AG169" s="101">
        <f t="shared" si="10"/>
        <v>0.2900000000000001</v>
      </c>
      <c r="AH169" s="101">
        <f t="shared" si="10"/>
        <v>0.3000000000000001</v>
      </c>
      <c r="AI169" s="101">
        <f t="shared" si="10"/>
        <v>0.3100000000000001</v>
      </c>
      <c r="AJ169" s="101">
        <f aca="true" t="shared" si="11" ref="AJ169:BC169">AJ156</f>
        <v>0.3200000000000001</v>
      </c>
      <c r="AK169" s="101">
        <f t="shared" si="11"/>
        <v>0.3300000000000001</v>
      </c>
      <c r="AL169" s="101">
        <f t="shared" si="11"/>
        <v>0.34000000000000014</v>
      </c>
      <c r="AM169" s="101">
        <f t="shared" si="11"/>
        <v>0.35000000000000014</v>
      </c>
      <c r="AN169" s="101">
        <f t="shared" si="11"/>
        <v>0.36000000000000015</v>
      </c>
      <c r="AO169" s="101">
        <f t="shared" si="11"/>
        <v>0.37000000000000016</v>
      </c>
      <c r="AP169" s="101">
        <f t="shared" si="11"/>
        <v>0.38000000000000017</v>
      </c>
      <c r="AQ169" s="101">
        <f t="shared" si="11"/>
        <v>0.3900000000000002</v>
      </c>
      <c r="AR169" s="101">
        <f t="shared" si="11"/>
        <v>0.4000000000000002</v>
      </c>
      <c r="AS169" s="101">
        <f t="shared" si="11"/>
        <v>0.4100000000000002</v>
      </c>
      <c r="AT169" s="101">
        <f t="shared" si="11"/>
        <v>0.4200000000000002</v>
      </c>
      <c r="AU169" s="101">
        <f t="shared" si="11"/>
        <v>0.4300000000000002</v>
      </c>
      <c r="AV169" s="101">
        <f t="shared" si="11"/>
        <v>0.4400000000000002</v>
      </c>
      <c r="AW169" s="101">
        <f t="shared" si="11"/>
        <v>0.45000000000000023</v>
      </c>
      <c r="AX169" s="101">
        <f t="shared" si="11"/>
        <v>0.46000000000000024</v>
      </c>
      <c r="AY169" s="101">
        <f t="shared" si="11"/>
        <v>0.47000000000000025</v>
      </c>
      <c r="AZ169" s="101">
        <f t="shared" si="11"/>
        <v>0.48000000000000026</v>
      </c>
      <c r="BA169" s="101">
        <f t="shared" si="11"/>
        <v>0.49000000000000027</v>
      </c>
      <c r="BB169" s="101">
        <f t="shared" si="11"/>
        <v>0.5000000000000002</v>
      </c>
      <c r="BC169" s="101">
        <f t="shared" si="11"/>
        <v>0.5100000000000002</v>
      </c>
    </row>
    <row r="170" spans="4:55" s="94" customFormat="1" ht="12">
      <c r="D170" s="102">
        <f aca="true" t="shared" si="12" ref="D170:AI170">D167</f>
        <v>-154772.9293500001</v>
      </c>
      <c r="E170" s="102">
        <f t="shared" si="12"/>
        <v>-141413.56385000004</v>
      </c>
      <c r="F170" s="102">
        <f t="shared" si="12"/>
        <v>-128054.1983500002</v>
      </c>
      <c r="G170" s="102">
        <f t="shared" si="12"/>
        <v>-114694.83285000012</v>
      </c>
      <c r="H170" s="102">
        <f t="shared" si="12"/>
        <v>-101335.46735000005</v>
      </c>
      <c r="I170" s="102">
        <f t="shared" si="12"/>
        <v>-87976.10185000021</v>
      </c>
      <c r="J170" s="102">
        <f t="shared" si="12"/>
        <v>-74616.73635000014</v>
      </c>
      <c r="K170" s="102">
        <f t="shared" si="12"/>
        <v>-61257.370850000065</v>
      </c>
      <c r="L170" s="102">
        <f t="shared" si="12"/>
        <v>-47898.005350000225</v>
      </c>
      <c r="M170" s="102">
        <f t="shared" si="12"/>
        <v>-34538.63985000015</v>
      </c>
      <c r="N170" s="102">
        <f t="shared" si="12"/>
        <v>-21179.27435000008</v>
      </c>
      <c r="O170" s="102">
        <f t="shared" si="12"/>
        <v>-7819.90885000024</v>
      </c>
      <c r="P170" s="102">
        <f t="shared" si="12"/>
        <v>5539.456649999833</v>
      </c>
      <c r="Q170" s="102">
        <f t="shared" si="12"/>
        <v>18898.822149999673</v>
      </c>
      <c r="R170" s="102">
        <f t="shared" si="12"/>
        <v>32258.187649999745</v>
      </c>
      <c r="S170" s="102">
        <f t="shared" si="12"/>
        <v>45617.55315000005</v>
      </c>
      <c r="T170" s="102">
        <f t="shared" si="12"/>
        <v>58976.91864999989</v>
      </c>
      <c r="U170" s="102">
        <f t="shared" si="12"/>
        <v>72336.28414999996</v>
      </c>
      <c r="V170" s="102">
        <f t="shared" si="12"/>
        <v>85695.64965000004</v>
      </c>
      <c r="W170" s="102">
        <f t="shared" si="12"/>
        <v>99055.01514999988</v>
      </c>
      <c r="X170" s="102">
        <f t="shared" si="12"/>
        <v>112414.38064999995</v>
      </c>
      <c r="Y170" s="102">
        <f t="shared" si="12"/>
        <v>125773.74615000002</v>
      </c>
      <c r="Z170" s="102">
        <f t="shared" si="12"/>
        <v>139133.11164999986</v>
      </c>
      <c r="AA170" s="102">
        <f t="shared" si="12"/>
        <v>152492.47714999993</v>
      </c>
      <c r="AB170" s="102">
        <f t="shared" si="12"/>
        <v>165851.84265</v>
      </c>
      <c r="AC170" s="102">
        <f t="shared" si="12"/>
        <v>179211.20814999985</v>
      </c>
      <c r="AD170" s="102">
        <f t="shared" si="12"/>
        <v>192570.57364999992</v>
      </c>
      <c r="AE170" s="102">
        <f t="shared" si="12"/>
        <v>205929.93915</v>
      </c>
      <c r="AF170" s="102">
        <f t="shared" si="12"/>
        <v>219289.30464999983</v>
      </c>
      <c r="AG170" s="102">
        <f t="shared" si="12"/>
        <v>232648.67015000014</v>
      </c>
      <c r="AH170" s="102">
        <f t="shared" si="12"/>
        <v>246008.03564999998</v>
      </c>
      <c r="AI170" s="102">
        <f t="shared" si="12"/>
        <v>259367.40115000005</v>
      </c>
      <c r="AJ170" s="102">
        <f aca="true" t="shared" si="13" ref="AJ170:BC170">AJ167</f>
        <v>272726.7666500001</v>
      </c>
      <c r="AK170" s="102">
        <f t="shared" si="13"/>
        <v>286086.13214999996</v>
      </c>
      <c r="AL170" s="102">
        <f t="shared" si="13"/>
        <v>299445.49765000003</v>
      </c>
      <c r="AM170" s="102">
        <f t="shared" si="13"/>
        <v>312804.8631500001</v>
      </c>
      <c r="AN170" s="102">
        <f t="shared" si="13"/>
        <v>326164.22864999995</v>
      </c>
      <c r="AO170" s="102">
        <f t="shared" si="13"/>
        <v>339523.59415</v>
      </c>
      <c r="AP170" s="102">
        <f t="shared" si="13"/>
        <v>352882.9596500001</v>
      </c>
      <c r="AQ170" s="102">
        <f t="shared" si="13"/>
        <v>366242.32514999993</v>
      </c>
      <c r="AR170" s="102">
        <f t="shared" si="13"/>
        <v>379601.69065000024</v>
      </c>
      <c r="AS170" s="102">
        <f t="shared" si="13"/>
        <v>392961.0561500001</v>
      </c>
      <c r="AT170" s="102">
        <f t="shared" si="13"/>
        <v>406320.4216499999</v>
      </c>
      <c r="AU170" s="102">
        <f t="shared" si="13"/>
        <v>419679.7871500002</v>
      </c>
      <c r="AV170" s="102">
        <f t="shared" si="13"/>
        <v>433039.15265000006</v>
      </c>
      <c r="AW170" s="102">
        <f t="shared" si="13"/>
        <v>446398.5181499999</v>
      </c>
      <c r="AX170" s="102">
        <f t="shared" si="13"/>
        <v>459757.8836500002</v>
      </c>
      <c r="AY170" s="102">
        <f t="shared" si="13"/>
        <v>473117.2491500003</v>
      </c>
      <c r="AZ170" s="102">
        <f t="shared" si="13"/>
        <v>486476.6146500001</v>
      </c>
      <c r="BA170" s="102">
        <f t="shared" si="13"/>
        <v>499835.9801500002</v>
      </c>
      <c r="BB170" s="102">
        <f t="shared" si="13"/>
        <v>513195.34565000026</v>
      </c>
      <c r="BC170" s="102">
        <f t="shared" si="13"/>
        <v>526554.7111500003</v>
      </c>
    </row>
    <row r="171" spans="1:55" s="94" customFormat="1" ht="12">
      <c r="A171" s="94" t="str">
        <f>"Cost saving. Breakeven contamination rate with "&amp;C152&amp;" is "&amp;TEXT(B171,"0%")</f>
        <v>Cost saving. Breakeven contamination rate with Universal Container + Collection  product is 12%</v>
      </c>
      <c r="B171" s="103">
        <f>MAX(E171:BC171)</f>
        <v>0.11999999999999998</v>
      </c>
      <c r="C171" s="103"/>
      <c r="D171" s="103">
        <f>IF(D170&lt;0,0,IF(AND(B170&lt;0,E170&gt;0),D169,0))</f>
        <v>0</v>
      </c>
      <c r="E171" s="103">
        <f>IF(E170&lt;0,0,IF(AND(C170&lt;0,F170&gt;0),E169,0))</f>
        <v>0</v>
      </c>
      <c r="F171" s="103">
        <f aca="true" t="shared" si="14" ref="F171:AK171">IF(F170&lt;0,0,IF(AND(E170&lt;0,G170&gt;0),F169,0))</f>
        <v>0</v>
      </c>
      <c r="G171" s="103">
        <f t="shared" si="14"/>
        <v>0</v>
      </c>
      <c r="H171" s="103">
        <f t="shared" si="14"/>
        <v>0</v>
      </c>
      <c r="I171" s="103">
        <f t="shared" si="14"/>
        <v>0</v>
      </c>
      <c r="J171" s="103">
        <f t="shared" si="14"/>
        <v>0</v>
      </c>
      <c r="K171" s="103">
        <f t="shared" si="14"/>
        <v>0</v>
      </c>
      <c r="L171" s="103">
        <f t="shared" si="14"/>
        <v>0</v>
      </c>
      <c r="M171" s="103">
        <f t="shared" si="14"/>
        <v>0</v>
      </c>
      <c r="N171" s="103">
        <f t="shared" si="14"/>
        <v>0</v>
      </c>
      <c r="O171" s="103">
        <f t="shared" si="14"/>
        <v>0</v>
      </c>
      <c r="P171" s="103">
        <f t="shared" si="14"/>
        <v>0.11999999999999998</v>
      </c>
      <c r="Q171" s="103">
        <f t="shared" si="14"/>
        <v>0</v>
      </c>
      <c r="R171" s="103">
        <f t="shared" si="14"/>
        <v>0</v>
      </c>
      <c r="S171" s="103">
        <f t="shared" si="14"/>
        <v>0</v>
      </c>
      <c r="T171" s="103">
        <f t="shared" si="14"/>
        <v>0</v>
      </c>
      <c r="U171" s="103">
        <f t="shared" si="14"/>
        <v>0</v>
      </c>
      <c r="V171" s="103">
        <f t="shared" si="14"/>
        <v>0</v>
      </c>
      <c r="W171" s="103">
        <f t="shared" si="14"/>
        <v>0</v>
      </c>
      <c r="X171" s="103">
        <f t="shared" si="14"/>
        <v>0</v>
      </c>
      <c r="Y171" s="103">
        <f t="shared" si="14"/>
        <v>0</v>
      </c>
      <c r="Z171" s="103">
        <f t="shared" si="14"/>
        <v>0</v>
      </c>
      <c r="AA171" s="103">
        <f t="shared" si="14"/>
        <v>0</v>
      </c>
      <c r="AB171" s="103">
        <f t="shared" si="14"/>
        <v>0</v>
      </c>
      <c r="AC171" s="103">
        <f t="shared" si="14"/>
        <v>0</v>
      </c>
      <c r="AD171" s="103">
        <f t="shared" si="14"/>
        <v>0</v>
      </c>
      <c r="AE171" s="103">
        <f t="shared" si="14"/>
        <v>0</v>
      </c>
      <c r="AF171" s="103">
        <f t="shared" si="14"/>
        <v>0</v>
      </c>
      <c r="AG171" s="103">
        <f t="shared" si="14"/>
        <v>0</v>
      </c>
      <c r="AH171" s="103">
        <f t="shared" si="14"/>
        <v>0</v>
      </c>
      <c r="AI171" s="103">
        <f t="shared" si="14"/>
        <v>0</v>
      </c>
      <c r="AJ171" s="103">
        <f t="shared" si="14"/>
        <v>0</v>
      </c>
      <c r="AK171" s="103">
        <f t="shared" si="14"/>
        <v>0</v>
      </c>
      <c r="AL171" s="103">
        <f aca="true" t="shared" si="15" ref="AL171:BC171">IF(AL170&lt;0,0,IF(AND(AK170&lt;0,AM170&gt;0),AL169,0))</f>
        <v>0</v>
      </c>
      <c r="AM171" s="103">
        <f t="shared" si="15"/>
        <v>0</v>
      </c>
      <c r="AN171" s="103">
        <f t="shared" si="15"/>
        <v>0</v>
      </c>
      <c r="AO171" s="103">
        <f t="shared" si="15"/>
        <v>0</v>
      </c>
      <c r="AP171" s="103">
        <f t="shared" si="15"/>
        <v>0</v>
      </c>
      <c r="AQ171" s="103">
        <f t="shared" si="15"/>
        <v>0</v>
      </c>
      <c r="AR171" s="103">
        <f t="shared" si="15"/>
        <v>0</v>
      </c>
      <c r="AS171" s="103">
        <f t="shared" si="15"/>
        <v>0</v>
      </c>
      <c r="AT171" s="103">
        <f t="shared" si="15"/>
        <v>0</v>
      </c>
      <c r="AU171" s="103">
        <f t="shared" si="15"/>
        <v>0</v>
      </c>
      <c r="AV171" s="103">
        <f t="shared" si="15"/>
        <v>0</v>
      </c>
      <c r="AW171" s="103">
        <f t="shared" si="15"/>
        <v>0</v>
      </c>
      <c r="AX171" s="103">
        <f t="shared" si="15"/>
        <v>0</v>
      </c>
      <c r="AY171" s="103">
        <f t="shared" si="15"/>
        <v>0</v>
      </c>
      <c r="AZ171" s="103">
        <f t="shared" si="15"/>
        <v>0</v>
      </c>
      <c r="BA171" s="103">
        <f t="shared" si="15"/>
        <v>0</v>
      </c>
      <c r="BB171" s="103">
        <f t="shared" si="15"/>
        <v>0</v>
      </c>
      <c r="BC171" s="103">
        <f t="shared" si="15"/>
        <v>0</v>
      </c>
    </row>
    <row r="172" spans="4:55" s="94" customFormat="1" ht="12">
      <c r="D172" s="94" t="e">
        <f aca="true" t="shared" si="16" ref="D172:AI172">IF(D171=0,NA(),D171)</f>
        <v>#N/A</v>
      </c>
      <c r="E172" s="94" t="e">
        <f t="shared" si="16"/>
        <v>#N/A</v>
      </c>
      <c r="F172" s="94" t="e">
        <f t="shared" si="16"/>
        <v>#N/A</v>
      </c>
      <c r="G172" s="94" t="e">
        <f t="shared" si="16"/>
        <v>#N/A</v>
      </c>
      <c r="H172" s="94" t="e">
        <f t="shared" si="16"/>
        <v>#N/A</v>
      </c>
      <c r="I172" s="94" t="e">
        <f t="shared" si="16"/>
        <v>#N/A</v>
      </c>
      <c r="J172" s="94" t="e">
        <f t="shared" si="16"/>
        <v>#N/A</v>
      </c>
      <c r="K172" s="94" t="e">
        <f t="shared" si="16"/>
        <v>#N/A</v>
      </c>
      <c r="L172" s="94" t="e">
        <f t="shared" si="16"/>
        <v>#N/A</v>
      </c>
      <c r="M172" s="94" t="e">
        <f t="shared" si="16"/>
        <v>#N/A</v>
      </c>
      <c r="N172" s="94" t="e">
        <f t="shared" si="16"/>
        <v>#N/A</v>
      </c>
      <c r="O172" s="94" t="e">
        <f t="shared" si="16"/>
        <v>#N/A</v>
      </c>
      <c r="P172" s="94">
        <f t="shared" si="16"/>
        <v>0.11999999999999998</v>
      </c>
      <c r="Q172" s="94" t="e">
        <f t="shared" si="16"/>
        <v>#N/A</v>
      </c>
      <c r="R172" s="94" t="e">
        <f t="shared" si="16"/>
        <v>#N/A</v>
      </c>
      <c r="S172" s="94" t="e">
        <f t="shared" si="16"/>
        <v>#N/A</v>
      </c>
      <c r="T172" s="94" t="e">
        <f t="shared" si="16"/>
        <v>#N/A</v>
      </c>
      <c r="U172" s="94" t="e">
        <f t="shared" si="16"/>
        <v>#N/A</v>
      </c>
      <c r="V172" s="94" t="e">
        <f t="shared" si="16"/>
        <v>#N/A</v>
      </c>
      <c r="W172" s="94" t="e">
        <f t="shared" si="16"/>
        <v>#N/A</v>
      </c>
      <c r="X172" s="94" t="e">
        <f t="shared" si="16"/>
        <v>#N/A</v>
      </c>
      <c r="Y172" s="94" t="e">
        <f t="shared" si="16"/>
        <v>#N/A</v>
      </c>
      <c r="Z172" s="94" t="e">
        <f t="shared" si="16"/>
        <v>#N/A</v>
      </c>
      <c r="AA172" s="94" t="e">
        <f t="shared" si="16"/>
        <v>#N/A</v>
      </c>
      <c r="AB172" s="94" t="e">
        <f t="shared" si="16"/>
        <v>#N/A</v>
      </c>
      <c r="AC172" s="94" t="e">
        <f t="shared" si="16"/>
        <v>#N/A</v>
      </c>
      <c r="AD172" s="94" t="e">
        <f t="shared" si="16"/>
        <v>#N/A</v>
      </c>
      <c r="AE172" s="94" t="e">
        <f t="shared" si="16"/>
        <v>#N/A</v>
      </c>
      <c r="AF172" s="94" t="e">
        <f t="shared" si="16"/>
        <v>#N/A</v>
      </c>
      <c r="AG172" s="94" t="e">
        <f t="shared" si="16"/>
        <v>#N/A</v>
      </c>
      <c r="AH172" s="94" t="e">
        <f t="shared" si="16"/>
        <v>#N/A</v>
      </c>
      <c r="AI172" s="94" t="e">
        <f t="shared" si="16"/>
        <v>#N/A</v>
      </c>
      <c r="AJ172" s="94" t="e">
        <f aca="true" t="shared" si="17" ref="AJ172:BC172">IF(AJ171=0,NA(),AJ171)</f>
        <v>#N/A</v>
      </c>
      <c r="AK172" s="94" t="e">
        <f t="shared" si="17"/>
        <v>#N/A</v>
      </c>
      <c r="AL172" s="94" t="e">
        <f t="shared" si="17"/>
        <v>#N/A</v>
      </c>
      <c r="AM172" s="94" t="e">
        <f t="shared" si="17"/>
        <v>#N/A</v>
      </c>
      <c r="AN172" s="94" t="e">
        <f t="shared" si="17"/>
        <v>#N/A</v>
      </c>
      <c r="AO172" s="94" t="e">
        <f t="shared" si="17"/>
        <v>#N/A</v>
      </c>
      <c r="AP172" s="94" t="e">
        <f t="shared" si="17"/>
        <v>#N/A</v>
      </c>
      <c r="AQ172" s="94" t="e">
        <f t="shared" si="17"/>
        <v>#N/A</v>
      </c>
      <c r="AR172" s="94" t="e">
        <f t="shared" si="17"/>
        <v>#N/A</v>
      </c>
      <c r="AS172" s="94" t="e">
        <f t="shared" si="17"/>
        <v>#N/A</v>
      </c>
      <c r="AT172" s="94" t="e">
        <f t="shared" si="17"/>
        <v>#N/A</v>
      </c>
      <c r="AU172" s="94" t="e">
        <f t="shared" si="17"/>
        <v>#N/A</v>
      </c>
      <c r="AV172" s="94" t="e">
        <f t="shared" si="17"/>
        <v>#N/A</v>
      </c>
      <c r="AW172" s="94" t="e">
        <f t="shared" si="17"/>
        <v>#N/A</v>
      </c>
      <c r="AX172" s="94" t="e">
        <f t="shared" si="17"/>
        <v>#N/A</v>
      </c>
      <c r="AY172" s="94" t="e">
        <f t="shared" si="17"/>
        <v>#N/A</v>
      </c>
      <c r="AZ172" s="94" t="e">
        <f t="shared" si="17"/>
        <v>#N/A</v>
      </c>
      <c r="BA172" s="94" t="e">
        <f t="shared" si="17"/>
        <v>#N/A</v>
      </c>
      <c r="BB172" s="94" t="e">
        <f t="shared" si="17"/>
        <v>#N/A</v>
      </c>
      <c r="BC172" s="94" t="e">
        <f t="shared" si="17"/>
        <v>#N/A</v>
      </c>
    </row>
  </sheetData>
  <sheetProtection/>
  <mergeCells count="3">
    <mergeCell ref="Q1:X3"/>
    <mergeCell ref="G1:P3"/>
    <mergeCell ref="Q32:Z34"/>
  </mergeCells>
  <hyperlinks>
    <hyperlink ref="A27" location="'Patients costs'!A1" display="Patients' expenses"/>
    <hyperlink ref="A21" location="Administration!A1" display="Administration"/>
    <hyperlink ref="A34" location="'Clinical factors'!A1" display="Clinical factors"/>
    <hyperlink ref="A38" location="References!A1" display="References"/>
  </hyperlinks>
  <printOptions/>
  <pageMargins left="0.7" right="0.7" top="0.75" bottom="0.75" header="0.3" footer="0.3"/>
  <pageSetup horizontalDpi="600" verticalDpi="600" orientation="landscape" paperSize="9" scale="2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4:F17"/>
  <sheetViews>
    <sheetView showGridLines="0" showRowColHeaders="0" workbookViewId="0" topLeftCell="A1">
      <selection activeCell="N44" sqref="N44"/>
    </sheetView>
  </sheetViews>
  <sheetFormatPr defaultColWidth="8.8515625" defaultRowHeight="12.75"/>
  <cols>
    <col min="1" max="1" width="8.8515625" style="0" customWidth="1"/>
    <col min="2" max="2" width="40.8515625" style="0" bestFit="1" customWidth="1"/>
    <col min="3" max="3" width="21.421875" style="0" bestFit="1" customWidth="1"/>
    <col min="4" max="4" width="12.8515625" style="0" bestFit="1" customWidth="1"/>
    <col min="5" max="5" width="17.28125" style="0" bestFit="1" customWidth="1"/>
    <col min="6" max="6" width="12.8515625" style="0" bestFit="1" customWidth="1"/>
  </cols>
  <sheetData>
    <row r="4" spans="3:6" ht="12">
      <c r="C4" t="s">
        <v>147</v>
      </c>
      <c r="D4" t="s">
        <v>148</v>
      </c>
      <c r="E4" t="s">
        <v>145</v>
      </c>
      <c r="F4" t="s">
        <v>146</v>
      </c>
    </row>
    <row r="5" spans="2:6" ht="12">
      <c r="B5" t="str">
        <f>'Trust savings calculator'!E1</f>
        <v>Universal Container + Collection  product</v>
      </c>
      <c r="C5">
        <f>SUM('Trust savings calculator'!E6:E7)</f>
        <v>0.09</v>
      </c>
      <c r="D5">
        <f>'Trust savings calculator'!E4</f>
        <v>7.76</v>
      </c>
      <c r="E5">
        <f>C5</f>
        <v>0.09</v>
      </c>
      <c r="F5">
        <f>D5</f>
        <v>7.76</v>
      </c>
    </row>
    <row r="6" spans="2:4" ht="12">
      <c r="B6" t="str">
        <f>'Trust savings calculator'!D1</f>
        <v>Peezy Midstream</v>
      </c>
      <c r="C6">
        <f>SUM('Trust savings calculator'!D6:D7)</f>
        <v>0.87</v>
      </c>
      <c r="D6">
        <f>'Trust savings calculator'!D4</f>
        <v>7.76</v>
      </c>
    </row>
    <row r="8" spans="2:3" ht="12">
      <c r="B8" t="str">
        <f>"Patient cost with "&amp;B5</f>
        <v>Patient cost with Universal Container + Collection  product</v>
      </c>
      <c r="C8" s="106">
        <f>'Patients costs'!B6</f>
        <v>0.006944444444444444</v>
      </c>
    </row>
    <row r="9" spans="2:3" ht="12">
      <c r="B9" t="str">
        <f>"Patient cost with "&amp;B6</f>
        <v>Patient cost with Peezy Midstream</v>
      </c>
      <c r="C9" s="106">
        <f>'Patients costs'!B6</f>
        <v>0.006944444444444444</v>
      </c>
    </row>
    <row r="12" spans="3:6" ht="12">
      <c r="C12" t="str">
        <f>C4</f>
        <v>Patient 1st sample</v>
      </c>
      <c r="D12" t="str">
        <f>D4</f>
        <v>1st Lab test</v>
      </c>
      <c r="E12" t="str">
        <f>E4</f>
        <v>Patient 2nd sample</v>
      </c>
      <c r="F12" t="str">
        <f>F4</f>
        <v>2nd Lab retest</v>
      </c>
    </row>
    <row r="13" spans="2:6" ht="12">
      <c r="B13" t="str">
        <f>B5</f>
        <v>Universal Container + Collection  product</v>
      </c>
      <c r="C13">
        <f>C5</f>
        <v>0.09</v>
      </c>
      <c r="D13">
        <f>C13+D5</f>
        <v>7.85</v>
      </c>
      <c r="E13">
        <f>D13+E5</f>
        <v>7.9399999999999995</v>
      </c>
      <c r="F13">
        <f>E13+F5</f>
        <v>15.7</v>
      </c>
    </row>
    <row r="14" spans="2:6" ht="12">
      <c r="B14" t="str">
        <f>B6</f>
        <v>Peezy Midstream</v>
      </c>
      <c r="C14">
        <f>C6</f>
        <v>0.87</v>
      </c>
      <c r="D14">
        <f>C14+D6</f>
        <v>8.629999999999999</v>
      </c>
      <c r="E14">
        <f>D14</f>
        <v>8.629999999999999</v>
      </c>
      <c r="F14">
        <f>E14</f>
        <v>8.629999999999999</v>
      </c>
    </row>
    <row r="16" spans="2:3" ht="12">
      <c r="B16" t="str">
        <f>"Patient cost with "&amp;B13</f>
        <v>Patient cost with Universal Container + Collection  product</v>
      </c>
      <c r="C16" s="106">
        <f>'Patients costs'!B14</f>
        <v>10</v>
      </c>
    </row>
    <row r="17" spans="2:3" ht="12">
      <c r="B17" t="str">
        <f>"Patient cost with "&amp;B14</f>
        <v>Patient cost with Peezy Midstream</v>
      </c>
      <c r="C17" s="106">
        <f>'Patients costs'!B14</f>
        <v>10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V3"/>
  <sheetViews>
    <sheetView showGridLines="0" showRowColHeaders="0" workbookViewId="0" topLeftCell="A1">
      <selection activeCell="A1" sqref="A1:V3"/>
    </sheetView>
  </sheetViews>
  <sheetFormatPr defaultColWidth="8.8515625" defaultRowHeight="12.75"/>
  <sheetData>
    <row r="1" spans="1:22" ht="12.75" customHeight="1">
      <c r="A1" s="109" t="str">
        <f>'Trust savings calculator'!Q1</f>
        <v>If the current contamination rate using Universal Container + Collection  product is 12% or higher, Peezy will generate savings as shown below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12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2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</sheetData>
  <sheetProtection/>
  <mergeCells count="1">
    <mergeCell ref="A1:V3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25"/>
  <sheetViews>
    <sheetView showGridLines="0" showRowColHeaders="0" workbookViewId="0" topLeftCell="A1">
      <selection activeCell="A25" sqref="A25"/>
    </sheetView>
  </sheetViews>
  <sheetFormatPr defaultColWidth="9.140625" defaultRowHeight="12.75"/>
  <cols>
    <col min="1" max="1" width="63.7109375" style="57" bestFit="1" customWidth="1"/>
    <col min="2" max="2" width="19.8515625" style="57" bestFit="1" customWidth="1"/>
    <col min="3" max="3" width="4.7109375" style="57" customWidth="1"/>
    <col min="4" max="4" width="27.7109375" style="57" bestFit="1" customWidth="1"/>
    <col min="5" max="16384" width="9.140625" style="57" customWidth="1"/>
  </cols>
  <sheetData>
    <row r="1" spans="1:5" ht="16.5">
      <c r="A1" s="33" t="s">
        <v>40</v>
      </c>
      <c r="D1" s="58"/>
      <c r="E1" s="58"/>
    </row>
    <row r="2" ht="16.5">
      <c r="A2" s="59" t="s">
        <v>54</v>
      </c>
    </row>
    <row r="3" spans="2:4" ht="16.5">
      <c r="B3" s="33" t="s">
        <v>34</v>
      </c>
      <c r="C3" s="33"/>
      <c r="D3" s="33" t="s">
        <v>143</v>
      </c>
    </row>
    <row r="4" spans="1:4" ht="16.5">
      <c r="A4" s="57" t="s">
        <v>32</v>
      </c>
      <c r="B4" s="60">
        <v>0.001388888888888889</v>
      </c>
      <c r="C4" s="60"/>
      <c r="D4" s="61"/>
    </row>
    <row r="5" spans="1:4" ht="16.5">
      <c r="A5" s="57" t="s">
        <v>46</v>
      </c>
      <c r="B5" s="60">
        <v>0.010416666666666666</v>
      </c>
      <c r="C5" s="60"/>
      <c r="D5" s="62">
        <v>0.16666666666666666</v>
      </c>
    </row>
    <row r="6" spans="1:4" ht="16.5">
      <c r="A6" s="57" t="s">
        <v>47</v>
      </c>
      <c r="B6" s="60">
        <v>0.003472222222222222</v>
      </c>
      <c r="C6" s="60"/>
      <c r="D6" s="63">
        <f>'Patients costs'!D7</f>
        <v>2</v>
      </c>
    </row>
    <row r="7" spans="1:4" ht="16.5">
      <c r="A7" s="57" t="s">
        <v>44</v>
      </c>
      <c r="B7" s="60">
        <v>0.003472222222222222</v>
      </c>
      <c r="C7" s="60"/>
      <c r="D7" s="62">
        <v>1</v>
      </c>
    </row>
    <row r="8" spans="1:4" ht="16.5">
      <c r="A8" s="57" t="s">
        <v>45</v>
      </c>
      <c r="B8" s="60">
        <v>0.001388888888888889</v>
      </c>
      <c r="C8" s="60"/>
      <c r="D8" s="62">
        <v>3</v>
      </c>
    </row>
    <row r="9" spans="1:4" ht="16.5">
      <c r="A9" s="57" t="s">
        <v>33</v>
      </c>
      <c r="B9" s="60">
        <v>0.0020833333333333333</v>
      </c>
      <c r="C9" s="60"/>
      <c r="D9" s="62">
        <v>0.16666666666666666</v>
      </c>
    </row>
    <row r="11" spans="1:3" ht="16.5">
      <c r="A11" s="57" t="s">
        <v>48</v>
      </c>
      <c r="B11" s="64">
        <f>SUM(B4:B10)</f>
        <v>0.02222222222222222</v>
      </c>
      <c r="C11" s="64"/>
    </row>
    <row r="12" spans="1:3" ht="16.5">
      <c r="A12" s="57" t="s">
        <v>38</v>
      </c>
      <c r="B12" s="65" t="str">
        <f>TEXT(SUM(D4:D10),"0")&amp;" days"</f>
        <v>6 days</v>
      </c>
      <c r="C12" s="65"/>
    </row>
    <row r="13" ht="16.5">
      <c r="D13" s="66"/>
    </row>
    <row r="14" spans="1:3" ht="16.5">
      <c r="A14" s="57" t="s">
        <v>35</v>
      </c>
      <c r="B14" s="67">
        <v>10</v>
      </c>
      <c r="C14" s="67"/>
    </row>
    <row r="15" spans="1:3" ht="16.5">
      <c r="A15" s="57" t="s">
        <v>39</v>
      </c>
      <c r="B15" s="68">
        <f>B11*24*B14</f>
        <v>5.333333333333332</v>
      </c>
      <c r="C15" s="68"/>
    </row>
    <row r="17" spans="1:3" ht="16.5">
      <c r="A17" s="57" t="s">
        <v>36</v>
      </c>
      <c r="B17" s="67">
        <v>25</v>
      </c>
      <c r="C17" s="67"/>
    </row>
    <row r="18" spans="1:3" ht="16.5">
      <c r="A18" s="57" t="s">
        <v>37</v>
      </c>
      <c r="B18" s="68">
        <f>B11*24*B17</f>
        <v>13.33333333333333</v>
      </c>
      <c r="C18" s="68"/>
    </row>
    <row r="20" spans="1:2" ht="33.75">
      <c r="A20" s="69" t="s">
        <v>101</v>
      </c>
      <c r="B20" s="67">
        <v>103</v>
      </c>
    </row>
    <row r="21" ht="16.5">
      <c r="A21" s="70" t="s">
        <v>102</v>
      </c>
    </row>
    <row r="24" ht="16.5">
      <c r="A24" s="104" t="str">
        <f>'Trust savings calculator'!G1</f>
        <v>With lab tests costing £7.76 each [2012/13 NHS reference costs], and current average Trust contamination rate of 16.2%, Peezy generates a direct saving of £358 plus potential indirect savings of up to £17,043 per every 1,000 patients</v>
      </c>
    </row>
    <row r="25" ht="16.5">
      <c r="A25" s="104" t="str">
        <f>'Patients costs'!A22</f>
        <v>Total savings for patients would be £2,254,251</v>
      </c>
    </row>
  </sheetData>
  <sheetProtection/>
  <hyperlinks>
    <hyperlink ref="A21" location="References!B9" display="Cost of losing an OP appointment to re-examine a patient following a failed urine sample.  Cost from NHS cost table"/>
    <hyperlink ref="A2" location="'Peezy economics'!A1" display="Hom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E22"/>
  <sheetViews>
    <sheetView showGridLines="0" showRowColHeaders="0" workbookViewId="0" topLeftCell="A1">
      <selection activeCell="B12" sqref="B12"/>
    </sheetView>
  </sheetViews>
  <sheetFormatPr defaultColWidth="9.140625" defaultRowHeight="12.75"/>
  <cols>
    <col min="1" max="1" width="71.140625" style="73" bestFit="1" customWidth="1"/>
    <col min="2" max="2" width="19.8515625" style="73" bestFit="1" customWidth="1"/>
    <col min="3" max="3" width="8.00390625" style="73" customWidth="1"/>
    <col min="4" max="4" width="27.7109375" style="73" bestFit="1" customWidth="1"/>
    <col min="5" max="16384" width="9.140625" style="73" customWidth="1"/>
  </cols>
  <sheetData>
    <row r="1" spans="1:5" ht="16.5">
      <c r="A1" s="71" t="s">
        <v>54</v>
      </c>
      <c r="B1" s="72"/>
      <c r="C1" s="72"/>
      <c r="D1" s="72"/>
      <c r="E1" s="72"/>
    </row>
    <row r="2" ht="16.5">
      <c r="A2" s="74" t="s">
        <v>49</v>
      </c>
    </row>
    <row r="3" ht="16.5">
      <c r="A3" s="75" t="s">
        <v>142</v>
      </c>
    </row>
    <row r="4" spans="2:4" ht="16.5">
      <c r="B4" s="74" t="s">
        <v>34</v>
      </c>
      <c r="C4" s="74"/>
      <c r="D4" s="74" t="s">
        <v>143</v>
      </c>
    </row>
    <row r="5" spans="1:4" ht="16.5">
      <c r="A5" s="73" t="s">
        <v>41</v>
      </c>
      <c r="B5" s="76">
        <v>0.0020833333333333333</v>
      </c>
      <c r="C5" s="76"/>
      <c r="D5" s="77"/>
    </row>
    <row r="6" spans="1:4" ht="16.5">
      <c r="A6" s="73" t="s">
        <v>42</v>
      </c>
      <c r="B6" s="76">
        <v>0.006944444444444444</v>
      </c>
      <c r="C6" s="76"/>
      <c r="D6" s="78">
        <f>B6</f>
        <v>0.006944444444444444</v>
      </c>
    </row>
    <row r="7" spans="1:4" ht="16.5">
      <c r="A7" s="73" t="s">
        <v>43</v>
      </c>
      <c r="B7" s="76">
        <v>0.125</v>
      </c>
      <c r="C7" s="76"/>
      <c r="D7" s="78">
        <v>2</v>
      </c>
    </row>
    <row r="8" spans="3:5" ht="16.5">
      <c r="C8" s="79"/>
      <c r="D8" s="80">
        <f>ROUNDUP(SUM(D5:D7),0)</f>
        <v>3</v>
      </c>
      <c r="E8" s="73" t="s">
        <v>50</v>
      </c>
    </row>
    <row r="9" spans="1:3" ht="16.5">
      <c r="A9" s="73" t="s">
        <v>52</v>
      </c>
      <c r="B9" s="79">
        <f>SUM(B5:B7)</f>
        <v>0.13402777777777777</v>
      </c>
      <c r="C9" s="73" t="s">
        <v>51</v>
      </c>
    </row>
    <row r="10" spans="1:3" ht="16.5">
      <c r="A10" s="73" t="s">
        <v>38</v>
      </c>
      <c r="B10" s="81">
        <f>D8</f>
        <v>3</v>
      </c>
      <c r="C10" s="73" t="s">
        <v>50</v>
      </c>
    </row>
    <row r="12" spans="1:2" ht="16.5">
      <c r="A12" s="73" t="s">
        <v>55</v>
      </c>
      <c r="B12" s="82">
        <v>25</v>
      </c>
    </row>
    <row r="13" spans="1:2" ht="16.5">
      <c r="A13" s="73" t="s">
        <v>56</v>
      </c>
      <c r="B13" s="83">
        <f>B9*24*B12</f>
        <v>80.41666666666667</v>
      </c>
    </row>
    <row r="14" spans="1:2" ht="16.5">
      <c r="A14" s="73" t="s">
        <v>53</v>
      </c>
      <c r="B14" s="82">
        <v>10</v>
      </c>
    </row>
    <row r="15" spans="1:2" ht="16.5">
      <c r="A15" s="73" t="s">
        <v>57</v>
      </c>
      <c r="B15" s="83">
        <f>B13+B14</f>
        <v>90.41666666666667</v>
      </c>
    </row>
    <row r="21" ht="16.5">
      <c r="A21" s="104" t="str">
        <f>'Trust savings calculator'!G1</f>
        <v>With lab tests costing £7.76 each [2012/13 NHS reference costs], and current average Trust contamination rate of 16.2%, Peezy generates a direct saving of £358 plus potential indirect savings of up to £17,043 per every 1,000 patients</v>
      </c>
    </row>
    <row r="22" ht="16.5">
      <c r="A22" s="105" t="str">
        <f>"Total savings for patients would be "&amp;TEXT('Trust savings calculator'!D31,"£0,0")</f>
        <v>Total savings for patients would be £2,254,251</v>
      </c>
    </row>
  </sheetData>
  <sheetProtection/>
  <hyperlinks>
    <hyperlink ref="A1" location="'Peezy economics'!A1" display="Home"/>
  </hyperlink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F15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A7" sqref="A7:F15"/>
    </sheetView>
  </sheetViews>
  <sheetFormatPr defaultColWidth="9.140625" defaultRowHeight="12.75"/>
  <cols>
    <col min="1" max="1" width="42.421875" style="84" bestFit="1" customWidth="1"/>
    <col min="2" max="16384" width="9.140625" style="84" customWidth="1"/>
  </cols>
  <sheetData>
    <row r="1" ht="18">
      <c r="A1" s="85" t="s">
        <v>54</v>
      </c>
    </row>
    <row r="2" ht="18">
      <c r="A2" s="86" t="s">
        <v>58</v>
      </c>
    </row>
    <row r="3" ht="18">
      <c r="B3" s="84" t="str">
        <f>'Trust savings calculator'!E1</f>
        <v>Universal Container + Collection  product</v>
      </c>
    </row>
    <row r="4" spans="1:2" ht="18">
      <c r="A4" s="84" t="s">
        <v>59</v>
      </c>
      <c r="B4" s="84" t="str">
        <f>'Trust savings calculator'!E35</f>
        <v>+ 1077%</v>
      </c>
    </row>
    <row r="5" spans="1:2" ht="18">
      <c r="A5" s="84" t="s">
        <v>60</v>
      </c>
      <c r="B5" s="84" t="str">
        <f>'Trust savings calculator'!E36</f>
        <v>+ 1077%</v>
      </c>
    </row>
    <row r="7" spans="1:6" ht="18">
      <c r="A7" s="110" t="str">
        <f>"While there is presently insufficient data to quantify the above factors in absolute terms, the impact of Peezy can be expressed as a ratio of the number of retests required.  In this case, "&amp;TEXT('Trust savings calculator'!E35,"0.00")&amp;" times higher using "&amp;B3</f>
        <v>While there is presently insufficient data to quantify the above factors in absolute terms, the impact of Peezy can be expressed as a ratio of the number of retests required.  In this case, 10.77 times higher using Universal Container + Collection  product</v>
      </c>
      <c r="B7" s="110"/>
      <c r="C7" s="110"/>
      <c r="D7" s="110"/>
      <c r="E7" s="110"/>
      <c r="F7" s="110"/>
    </row>
    <row r="8" spans="1:6" ht="18">
      <c r="A8" s="110"/>
      <c r="B8" s="110"/>
      <c r="C8" s="110"/>
      <c r="D8" s="110"/>
      <c r="E8" s="110"/>
      <c r="F8" s="110"/>
    </row>
    <row r="9" spans="1:6" ht="18">
      <c r="A9" s="110"/>
      <c r="B9" s="110"/>
      <c r="C9" s="110"/>
      <c r="D9" s="110"/>
      <c r="E9" s="110"/>
      <c r="F9" s="110"/>
    </row>
    <row r="10" spans="1:6" ht="18">
      <c r="A10" s="110"/>
      <c r="B10" s="110"/>
      <c r="C10" s="110"/>
      <c r="D10" s="110"/>
      <c r="E10" s="110"/>
      <c r="F10" s="110"/>
    </row>
    <row r="11" spans="1:6" ht="18">
      <c r="A11" s="110"/>
      <c r="B11" s="110"/>
      <c r="C11" s="110"/>
      <c r="D11" s="110"/>
      <c r="E11" s="110"/>
      <c r="F11" s="110"/>
    </row>
    <row r="12" spans="1:6" ht="18">
      <c r="A12" s="110"/>
      <c r="B12" s="110"/>
      <c r="C12" s="110"/>
      <c r="D12" s="110"/>
      <c r="E12" s="110"/>
      <c r="F12" s="110"/>
    </row>
    <row r="13" spans="1:6" ht="18">
      <c r="A13" s="110"/>
      <c r="B13" s="110"/>
      <c r="C13" s="110"/>
      <c r="D13" s="110"/>
      <c r="E13" s="110"/>
      <c r="F13" s="110"/>
    </row>
    <row r="14" spans="1:6" ht="18">
      <c r="A14" s="110"/>
      <c r="B14" s="110"/>
      <c r="C14" s="110"/>
      <c r="D14" s="110"/>
      <c r="E14" s="110"/>
      <c r="F14" s="110"/>
    </row>
    <row r="15" spans="1:6" ht="18">
      <c r="A15" s="110"/>
      <c r="B15" s="110"/>
      <c r="C15" s="110"/>
      <c r="D15" s="110"/>
      <c r="E15" s="110"/>
      <c r="F15" s="110"/>
    </row>
  </sheetData>
  <sheetProtection/>
  <mergeCells count="1">
    <mergeCell ref="A7:F15"/>
  </mergeCells>
  <hyperlinks>
    <hyperlink ref="A1" location="'Peezy economics'!A1" display="Home"/>
  </hyperlink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B1:K97"/>
  <sheetViews>
    <sheetView showGridLines="0" showRowColHeaders="0" workbookViewId="0" topLeftCell="A1">
      <selection activeCell="E1" sqref="E1:F1"/>
    </sheetView>
  </sheetViews>
  <sheetFormatPr defaultColWidth="9.140625" defaultRowHeight="12.75"/>
  <cols>
    <col min="1" max="1" width="9.140625" style="39" customWidth="1"/>
    <col min="2" max="2" width="9.421875" style="39" customWidth="1"/>
    <col min="3" max="3" width="14.8515625" style="39" bestFit="1" customWidth="1"/>
    <col min="4" max="4" width="12.140625" style="39" bestFit="1" customWidth="1"/>
    <col min="5" max="5" width="17.421875" style="39" bestFit="1" customWidth="1"/>
    <col min="6" max="6" width="7.421875" style="39" customWidth="1"/>
    <col min="7" max="7" width="10.140625" style="39" bestFit="1" customWidth="1"/>
    <col min="8" max="10" width="9.140625" style="39" customWidth="1"/>
    <col min="11" max="11" width="15.00390625" style="39" bestFit="1" customWidth="1"/>
    <col min="12" max="16384" width="9.140625" style="39" customWidth="1"/>
  </cols>
  <sheetData>
    <row r="1" spans="2:6" ht="12">
      <c r="B1" s="56"/>
      <c r="C1" s="56"/>
      <c r="D1" s="56"/>
      <c r="E1" s="56"/>
      <c r="F1" s="56"/>
    </row>
    <row r="4" spans="2:3" ht="12">
      <c r="B4" s="31" t="s">
        <v>110</v>
      </c>
      <c r="C4" s="31" t="s">
        <v>21</v>
      </c>
    </row>
    <row r="5" spans="2:3" ht="12">
      <c r="B5" s="39" t="s">
        <v>111</v>
      </c>
      <c r="C5" s="47">
        <v>5062855</v>
      </c>
    </row>
    <row r="6" spans="2:3" ht="12">
      <c r="B6" s="39" t="s">
        <v>112</v>
      </c>
      <c r="C6" s="47">
        <v>5366794</v>
      </c>
    </row>
    <row r="7" spans="2:3" ht="12">
      <c r="B7" s="39" t="s">
        <v>113</v>
      </c>
      <c r="C7" s="47">
        <v>5442552</v>
      </c>
    </row>
    <row r="29" ht="12">
      <c r="B29" s="38" t="s">
        <v>114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6.5">
      <c r="B89" s="33" t="s">
        <v>126</v>
      </c>
    </row>
    <row r="90" ht="12">
      <c r="B90" s="39" t="s">
        <v>127</v>
      </c>
    </row>
    <row r="91" ht="12">
      <c r="B91" s="37" t="s">
        <v>107</v>
      </c>
    </row>
    <row r="93" ht="12">
      <c r="B93" s="31" t="s">
        <v>134</v>
      </c>
    </row>
    <row r="94" spans="2:4" ht="12">
      <c r="B94" s="39" t="s">
        <v>122</v>
      </c>
      <c r="C94" s="50">
        <v>23828.5</v>
      </c>
      <c r="D94" s="39" t="s">
        <v>125</v>
      </c>
    </row>
    <row r="95" spans="2:11" ht="12">
      <c r="B95" s="39" t="s">
        <v>123</v>
      </c>
      <c r="C95" s="50">
        <v>35000000000</v>
      </c>
      <c r="D95" s="48" t="s">
        <v>135</v>
      </c>
      <c r="K95" s="49"/>
    </row>
    <row r="96" spans="2:4" ht="12">
      <c r="B96" s="39" t="s">
        <v>124</v>
      </c>
      <c r="C96" s="51" t="s">
        <v>131</v>
      </c>
      <c r="D96" s="48" t="s">
        <v>132</v>
      </c>
    </row>
    <row r="97" spans="2:4" ht="12">
      <c r="B97" s="39" t="s">
        <v>130</v>
      </c>
      <c r="C97" s="52">
        <v>8000000</v>
      </c>
      <c r="D97" s="39" t="s">
        <v>133</v>
      </c>
    </row>
  </sheetData>
  <sheetProtection/>
  <hyperlinks>
    <hyperlink ref="B29" r:id="rId1" display="http://www.nhslothian.scot.nhs.uk/YourRights/FOI/RequestAndResponseRegister/2014/4920.pdf"/>
    <hyperlink ref="B91" r:id="rId2" display="http://www.tufts.edu/med/apua/consumers/personal_home_5_1451036133.pdf"/>
  </hyperlinks>
  <printOptions/>
  <pageMargins left="0.75" right="0.75" top="1" bottom="1" header="0.5" footer="0.5"/>
  <pageSetup orientation="portrait" paperSize="9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C36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B1" sqref="B1:C1"/>
    </sheetView>
  </sheetViews>
  <sheetFormatPr defaultColWidth="9.140625" defaultRowHeight="12.75"/>
  <cols>
    <col min="1" max="1" width="64.00390625" style="39" bestFit="1" customWidth="1"/>
    <col min="2" max="2" width="112.421875" style="39" bestFit="1" customWidth="1"/>
    <col min="3" max="16384" width="9.140625" style="39" customWidth="1"/>
  </cols>
  <sheetData>
    <row r="1" spans="1:3" ht="12">
      <c r="A1" s="35" t="s">
        <v>54</v>
      </c>
      <c r="B1" s="56"/>
      <c r="C1" s="56"/>
    </row>
    <row r="2" ht="16.5">
      <c r="A2" s="33" t="s">
        <v>65</v>
      </c>
    </row>
    <row r="4" spans="1:2" ht="12">
      <c r="A4" s="40" t="s">
        <v>66</v>
      </c>
      <c r="B4" s="40" t="s">
        <v>67</v>
      </c>
    </row>
    <row r="5" spans="1:2" ht="12">
      <c r="A5" s="41" t="s">
        <v>74</v>
      </c>
      <c r="B5" s="37" t="s">
        <v>75</v>
      </c>
    </row>
    <row r="6" spans="1:2" ht="12">
      <c r="A6" s="41" t="s">
        <v>69</v>
      </c>
      <c r="B6" s="37" t="s">
        <v>68</v>
      </c>
    </row>
    <row r="7" spans="1:2" ht="12">
      <c r="A7" s="42" t="s">
        <v>61</v>
      </c>
      <c r="B7" s="38" t="s">
        <v>62</v>
      </c>
    </row>
    <row r="8" spans="1:2" ht="12">
      <c r="A8" s="41" t="s">
        <v>73</v>
      </c>
      <c r="B8" s="37" t="s">
        <v>72</v>
      </c>
    </row>
    <row r="9" spans="1:2" ht="12">
      <c r="A9" s="41" t="s">
        <v>79</v>
      </c>
      <c r="B9" s="37" t="s">
        <v>78</v>
      </c>
    </row>
    <row r="10" spans="1:2" ht="12">
      <c r="A10" s="41" t="s">
        <v>71</v>
      </c>
      <c r="B10" s="37" t="s">
        <v>70</v>
      </c>
    </row>
    <row r="11" spans="1:2" ht="12">
      <c r="A11" s="41" t="s">
        <v>63</v>
      </c>
      <c r="B11" s="37" t="s">
        <v>64</v>
      </c>
    </row>
    <row r="12" spans="1:2" ht="12">
      <c r="A12" s="41" t="s">
        <v>77</v>
      </c>
      <c r="B12" s="37" t="s">
        <v>76</v>
      </c>
    </row>
    <row r="13" spans="1:2" ht="12">
      <c r="A13" s="41" t="s">
        <v>80</v>
      </c>
      <c r="B13" s="37" t="s">
        <v>81</v>
      </c>
    </row>
    <row r="14" spans="1:2" ht="12">
      <c r="A14" s="41" t="s">
        <v>83</v>
      </c>
      <c r="B14" s="37" t="s">
        <v>82</v>
      </c>
    </row>
    <row r="15" spans="1:2" ht="12">
      <c r="A15" s="41" t="s">
        <v>85</v>
      </c>
      <c r="B15" s="37" t="s">
        <v>84</v>
      </c>
    </row>
    <row r="19" ht="12">
      <c r="A19" s="31" t="s">
        <v>92</v>
      </c>
    </row>
    <row r="20" spans="1:2" ht="12">
      <c r="A20" s="39" t="s">
        <v>86</v>
      </c>
      <c r="B20" s="37" t="s">
        <v>89</v>
      </c>
    </row>
    <row r="21" spans="1:2" ht="12">
      <c r="A21" s="39" t="s">
        <v>91</v>
      </c>
      <c r="B21" s="37" t="s">
        <v>90</v>
      </c>
    </row>
    <row r="22" spans="1:2" ht="12">
      <c r="A22" s="39" t="s">
        <v>93</v>
      </c>
      <c r="B22" s="37" t="s">
        <v>94</v>
      </c>
    </row>
    <row r="23" spans="1:2" ht="12">
      <c r="A23" s="39" t="s">
        <v>95</v>
      </c>
      <c r="B23" s="37" t="s">
        <v>96</v>
      </c>
    </row>
    <row r="24" spans="1:2" ht="12">
      <c r="A24" s="39" t="s">
        <v>97</v>
      </c>
      <c r="B24" s="37" t="s">
        <v>98</v>
      </c>
    </row>
    <row r="25" spans="1:2" ht="12">
      <c r="A25" s="39" t="s">
        <v>99</v>
      </c>
      <c r="B25" s="37" t="s">
        <v>100</v>
      </c>
    </row>
    <row r="27" ht="12">
      <c r="A27" s="31" t="s">
        <v>103</v>
      </c>
    </row>
    <row r="28" spans="1:2" ht="12">
      <c r="A28" s="39" t="s">
        <v>119</v>
      </c>
      <c r="B28" s="37" t="s">
        <v>118</v>
      </c>
    </row>
    <row r="29" spans="1:2" ht="12">
      <c r="A29" s="46" t="s">
        <v>105</v>
      </c>
      <c r="B29" s="37" t="s">
        <v>104</v>
      </c>
    </row>
    <row r="30" spans="1:2" ht="12">
      <c r="A30" s="39" t="s">
        <v>106</v>
      </c>
      <c r="B30" s="37" t="s">
        <v>107</v>
      </c>
    </row>
    <row r="31" spans="1:2" ht="12">
      <c r="A31" s="39" t="s">
        <v>109</v>
      </c>
      <c r="B31" s="37" t="s">
        <v>108</v>
      </c>
    </row>
    <row r="32" spans="1:2" ht="12">
      <c r="A32" s="39" t="s">
        <v>115</v>
      </c>
      <c r="B32" s="37" t="s">
        <v>114</v>
      </c>
    </row>
    <row r="33" spans="1:2" ht="12">
      <c r="A33" s="39" t="s">
        <v>117</v>
      </c>
      <c r="B33" s="37" t="s">
        <v>116</v>
      </c>
    </row>
    <row r="34" spans="1:2" ht="12">
      <c r="A34" s="39" t="s">
        <v>121</v>
      </c>
      <c r="B34" s="37" t="s">
        <v>120</v>
      </c>
    </row>
    <row r="35" spans="1:2" ht="12">
      <c r="A35" s="39" t="s">
        <v>129</v>
      </c>
      <c r="B35" s="37" t="s">
        <v>128</v>
      </c>
    </row>
    <row r="36" spans="1:3" ht="12">
      <c r="A36" s="39" t="s">
        <v>137</v>
      </c>
      <c r="B36" s="37" t="s">
        <v>136</v>
      </c>
      <c r="C36" s="37" t="s">
        <v>138</v>
      </c>
    </row>
  </sheetData>
  <sheetProtection/>
  <hyperlinks>
    <hyperlink ref="B7" r:id="rId1" display="http://www.nrls.npsa.nhs.uk/"/>
    <hyperlink ref="B11" r:id="rId2" display="http://www.nrls.npsa.nhs.uk/EasySiteWeb/getresource.axd?AssetID=61814"/>
    <hyperlink ref="A1" location="'Peezy economics'!A1" display="Home"/>
    <hyperlink ref="B6" r:id="rId3" display="http://www.nhsemployers.org/staffwelfareissues"/>
    <hyperlink ref="B10" r:id="rId4" display="http://www.nhsemployers.org/~/media/Employers/Publications/workplace-health-safety-standards.pdf"/>
    <hyperlink ref="B8" r:id="rId5" display="http://www.hscic.gov.uk/catalogue/PUB17274"/>
    <hyperlink ref="B5" r:id="rId6" display="http://www.nrls.npsa.nhs.uk/resources/?EntryId45=59818"/>
    <hyperlink ref="B9" r:id="rId7" display="https://www.gov.uk/government/collections/nhs-reference-costs"/>
    <hyperlink ref="B13" r:id="rId8" display="http://www.nhsprofessionals.nhs.uk/Download/comms/CG1_NHSP_Standard_Infection_Control_Precautions_v3.pdf"/>
    <hyperlink ref="B14" r:id="rId9" display="https://www.gov.uk/government/uploads/system/uploads/attachment_data/file/434202/carter-interim-report.pdf"/>
    <hyperlink ref="B15" r:id="rId10" display="http://www.hpft.nhs.uk/_uploads/documents/the-trust/freedom-of-info/disclosure/specimen-collection-for-microbiological-analysis.pdf"/>
    <hyperlink ref="B20" r:id="rId11" display="https://en.wikipedia.org/wiki/Rotavirus"/>
    <hyperlink ref="B21" r:id="rId12" display="https://en.wikipedia.org/wiki/Japanese_encephalitis"/>
    <hyperlink ref="B22" r:id="rId13" display="https://en.wikipedia.org/wiki/Streptococcus"/>
    <hyperlink ref="B23" r:id="rId14" display="https://en.wikipedia.org/wiki/Escherichia_coli"/>
    <hyperlink ref="B24" r:id="rId15" display="https://en.wikipedia.org/wiki/Chlamydia_infection"/>
    <hyperlink ref="B25" r:id="rId16" display="https://en.wikipedia.org/wiki/Dengue_fever"/>
    <hyperlink ref="B29" r:id="rId17" display="http://www.icnetplc.com/en/node/1659"/>
    <hyperlink ref="B30" r:id="rId18" display="http://www.tufts.edu/med/apua/consumers/personal_home_5_1451036133.pdf"/>
    <hyperlink ref="B31" r:id="rId19" display="http://www.telegraph.co.uk/news/science/science-news/11808015/Soft-touch-doctors-should-be-disciplined-for-over-prescribing-antibiotics.html"/>
    <hyperlink ref="B32" r:id="rId20" display="http://www.nhslothian.scot.nhs.uk/YourRights/FOI/RequestAndResponseRegister/2014/4920.pdf"/>
    <hyperlink ref="B33" r:id="rId21" display="http://www.scientificamerican.com/article/what-are-the-consequences-of-antibiotic-overuse/"/>
    <hyperlink ref="B28" r:id="rId22" display="https://www.england.nhs.uk/patientsafety/amr/"/>
    <hyperlink ref="B34" r:id="rId23" display="http://www.testtargettreat.com/en/home/educational-resources/resistance-crisis/antimicrobial-stewardship-implementation.html"/>
    <hyperlink ref="B35" r:id="rId24" display="http://www.sciencedirect.com/science/article/pii/S1369527499000053"/>
    <hyperlink ref="B36" r:id="rId25" display="http://www.rand.org/randeurope/research/projects/antimicrobial-resistance-costs.html"/>
    <hyperlink ref="C36" r:id="rId26" display="http://www.rand.org/content/dam/rand/pubs/research_reports/RR900/RR911/RAND_RR911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Giovanna Forte</cp:lastModifiedBy>
  <cp:lastPrinted>2016-09-25T17:27:40Z</cp:lastPrinted>
  <dcterms:created xsi:type="dcterms:W3CDTF">2015-09-16T22:58:24Z</dcterms:created>
  <dcterms:modified xsi:type="dcterms:W3CDTF">2016-11-02T11:33:01Z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